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/>
  <mc:AlternateContent xmlns:mc="http://schemas.openxmlformats.org/markup-compatibility/2006">
    <mc:Choice Requires="x15">
      <x15ac:absPath xmlns:x15ac="http://schemas.microsoft.com/office/spreadsheetml/2010/11/ac" url="C:\Users\DIANA PEÑUELA\Desktop\TALLER FINAL\"/>
    </mc:Choice>
  </mc:AlternateContent>
  <xr:revisionPtr revIDLastSave="0" documentId="8_{25065ACA-6319-475C-9BF4-D1B333F7070D}" xr6:coauthVersionLast="47" xr6:coauthVersionMax="47" xr10:uidLastSave="{00000000-0000-0000-0000-000000000000}"/>
  <bookViews>
    <workbookView xWindow="-108" yWindow="-108" windowWidth="16608" windowHeight="8712" tabRatio="834" xr2:uid="{00000000-000D-0000-FFFF-FFFF00000000}"/>
  </bookViews>
  <sheets>
    <sheet name="BALANCES GENERAL 2018-2022" sheetId="1" r:id="rId1"/>
    <sheet name="ESTADO DE RESULTADOS 2018-2022" sheetId="4" r:id="rId2"/>
    <sheet name="ANALISIS HORIZONTAL BG" sheetId="18" r:id="rId3"/>
    <sheet name="ANALISIS HORIZONTAL ER" sheetId="20" r:id="rId4"/>
    <sheet name="RAZONES FINANCIERAS" sheetId="16" r:id="rId5"/>
    <sheet name="CAPACIDAD DE INVERSION" sheetId="49" r:id="rId6"/>
  </sheets>
  <externalReferences>
    <externalReference r:id="rId7"/>
    <externalReference r:id="rId8"/>
    <externalReference r:id="rId9"/>
    <externalReference r:id="rId10"/>
  </externalReferences>
  <definedNames>
    <definedName name="_DAT2">#REF!</definedName>
    <definedName name="_Ley99">#REF!</definedName>
    <definedName name="_OPC1">#REF!</definedName>
    <definedName name="_RUT2">#REF!</definedName>
    <definedName name="a">#REF!</definedName>
    <definedName name="A_BALANCE">#REF!</definedName>
    <definedName name="A_BALANCE_DOLAR">#REF!</definedName>
    <definedName name="A_FdeF">#REF!</definedName>
    <definedName name="A_FdEF_DOLAR">#REF!</definedName>
    <definedName name="A_PYG">#REF!</definedName>
    <definedName name="A_PYG_DOLAR">#REF!</definedName>
    <definedName name="Anexo1">#REF!</definedName>
    <definedName name="AOM_Variable">#REF!</definedName>
    <definedName name="AportesOtros">'[1]Cargos MEM - Aportes'!#REF!</definedName>
    <definedName name="Base_datos_IM">#REF!</definedName>
    <definedName name="_xlnm.Database">#REF!</definedName>
    <definedName name="CAJA">#REF!</definedName>
    <definedName name="CantidadDeficienteGas">#REF!</definedName>
    <definedName name="Capacidad_Instalada_Isagen">#REF!</definedName>
    <definedName name="Capacidad_Instalada_Sistema">#REF!</definedName>
    <definedName name="CapInstaladaISAGEN">'[2]Supuestos Generación - Precios'!$B$180:$M$180</definedName>
    <definedName name="CapInstaladaSIN">'[2]Supuestos Generación - Precios'!$B$40:$M$40</definedName>
    <definedName name="Cargos_uso_red">#REF!</definedName>
    <definedName name="CERE">#REF!</definedName>
    <definedName name="CERE_corr">'[2]Supuestos Generación - Precios'!$B$346:$M$346</definedName>
    <definedName name="CERE_kte">'[2]Supuestos Generación - Precios'!$B$347:$M$347</definedName>
    <definedName name="CIQWBGuid" hidden="1">"006945a8-229c-4ef5-9ead-3fa5147e7ee4"</definedName>
    <definedName name="CND_CRD_SIC">#REF!</definedName>
    <definedName name="COEF">#REF!</definedName>
    <definedName name="ComisiónComercializaciónAmoyá">#REF!</definedName>
    <definedName name="ComprasBolsa">'[2]Modelo Proyecciones'!$B$70:$M$70</definedName>
    <definedName name="ComprasContratos">#REF!</definedName>
    <definedName name="ComprasGas">#REF!</definedName>
    <definedName name="ContratCFI">#REF!</definedName>
    <definedName name="ContratCFI_Niv1">#REF!</definedName>
    <definedName name="ContratCFI_Niv2">#REF!</definedName>
    <definedName name="ContratCFI_Niv3">#REF!</definedName>
    <definedName name="ContratCFI_Niv4">#REF!</definedName>
    <definedName name="ContratCFINivSTN">#REF!</definedName>
    <definedName name="ContratMEM">#REF!</definedName>
    <definedName name="ContratoTransporte">'[2]Supuestos Combustibles'!#REF!</definedName>
    <definedName name="ContratTotalISAGEN">#REF!</definedName>
    <definedName name="CostoCombustible">#REF!</definedName>
    <definedName name="CostoMargina20pss_Const">#REF!</definedName>
    <definedName name="CostoMarginalPromedio_Const">#REF!</definedName>
    <definedName name="CostosST">#REF!</definedName>
    <definedName name="CostoSuministroGas">#REF!</definedName>
    <definedName name="CostoTransporteGas">#REF!</definedName>
    <definedName name="CrecimAltoPotencia">#REF!</definedName>
    <definedName name="CrecimientoDemEnergia">'[3]Supuestos Generales'!$B$92:$M$92</definedName>
    <definedName name="_xlnm.Criteria">#REF!</definedName>
    <definedName name="Criterios_IM">#REF!</definedName>
    <definedName name="CRT_Amoyá">'[3]Supuestos Generación - Precios'!#REF!</definedName>
    <definedName name="CRT_ISAGEN">'[2]Supuestos Generación - Precios'!$B$371:$M$371</definedName>
    <definedName name="CRT_SIN">'[2]Supuestos Generación - Precios'!$B$340:$M$340</definedName>
    <definedName name="CRTeqEne_Amoyá">'[3]Supuestos Generación - Precios'!#REF!</definedName>
    <definedName name="CRTeqEne_ISAGEN">'[2]Supuestos Generación - Precios'!$B$395:$M$395</definedName>
    <definedName name="CVCo">#REF!</definedName>
    <definedName name="CVPo">#REF!</definedName>
    <definedName name="DAT">#REF!</definedName>
    <definedName name="DATC">#REF!</definedName>
    <definedName name="DemEnergia">#REF!</definedName>
    <definedName name="DemPotencia">#REF!</definedName>
    <definedName name="DEUDA">#REF!</definedName>
    <definedName name="Devaluacion">#REF!</definedName>
    <definedName name="EndYear">#REF!</definedName>
    <definedName name="ENER">#REF!</definedName>
    <definedName name="Energia_a_comercializar">#REF!</definedName>
    <definedName name="ENFICCAnualISAGEN">'[3]Supuestos Generación - Precios'!$B$468:$M$468</definedName>
    <definedName name="erpc">#REF!</definedName>
    <definedName name="EscDemanda">#REF!</definedName>
    <definedName name="EscenarioSumGas">#REF!</definedName>
    <definedName name="ESCM">#REF!</definedName>
    <definedName name="EscMacroEco">#REF!</definedName>
    <definedName name="ESP">#REF!</definedName>
    <definedName name="ESPC">#REF!</definedName>
    <definedName name="ESTADOR1">#REF!</definedName>
    <definedName name="ESTADOR2">#REF!</definedName>
    <definedName name="Extracción_IM">#REF!</definedName>
    <definedName name="factor">#REF!</definedName>
    <definedName name="factor2">#REF!</definedName>
    <definedName name="factorInflacionExt">#REF!</definedName>
    <definedName name="FactorInflaExt">#REF!</definedName>
    <definedName name="FactorInflaInt">#REF!</definedName>
    <definedName name="FactorIPC">#REF!</definedName>
    <definedName name="FactorIPP">#REF!</definedName>
    <definedName name="FactorTasaCambio">#REF!</definedName>
    <definedName name="FEC">#REF!</definedName>
    <definedName name="FECC">#REF!</definedName>
    <definedName name="FICHA">#REF!</definedName>
    <definedName name="FINAN">#REF!</definedName>
    <definedName name="Gen">#REF!</definedName>
    <definedName name="Generacion_propia_esperada">#REF!</definedName>
    <definedName name="Generaciones">#REF!</definedName>
    <definedName name="GenTotAmoyá">'[3]Supuestos Generales'!#REF!</definedName>
    <definedName name="GenTotISAGEN">'[2]Supuestos Generación - Precios'!$B$218:$M$218</definedName>
    <definedName name="_xlnm.Recorder">#REF!</definedName>
    <definedName name="HHV">#REF!</definedName>
    <definedName name="IASICo">#REF!</definedName>
    <definedName name="IND">#REF!</definedName>
    <definedName name="INDEX">#REF!</definedName>
    <definedName name="Inflacion_Externa">#REF!</definedName>
    <definedName name="Inflacion_Interna">#REF!</definedName>
    <definedName name="INIDEUDA">#REF!</definedName>
    <definedName name="InitYear">#REF!</definedName>
    <definedName name="INVER">#REF!</definedName>
    <definedName name="IPC">#REF!</definedName>
    <definedName name="IPPobjetivo">'[2]EscGen-Precios'!$C$13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"11/26/2012 13:56:32"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TER">#REF!</definedName>
    <definedName name="LETRA">#REF!</definedName>
    <definedName name="LETRAS">#REF!</definedName>
    <definedName name="ListOffset" hidden="1">1</definedName>
    <definedName name="MAIN">#REF!</definedName>
    <definedName name="MERP">#REF!</definedName>
    <definedName name="MESP">#REF!</definedName>
    <definedName name="MESP2">#REF!</definedName>
    <definedName name="MFEC">#REF!</definedName>
    <definedName name="MFEC2">#REF!</definedName>
    <definedName name="MOAP">#REF!</definedName>
    <definedName name="MOAP2">#REF!</definedName>
    <definedName name="MONEDA">#REF!</definedName>
    <definedName name="MREPO">#REF!</definedName>
    <definedName name="MRFP">#REF!</definedName>
    <definedName name="MWH">#REF!</definedName>
    <definedName name="NEMP">#REF!</definedName>
    <definedName name="NOPRO">#REF!</definedName>
    <definedName name="NSE">#REF!</definedName>
    <definedName name="OAP">#REF!</definedName>
    <definedName name="OAPC">#REF!</definedName>
    <definedName name="OATITLE">#REF!</definedName>
    <definedName name="OMONE">#REF!</definedName>
    <definedName name="OPSELC">#REF!</definedName>
    <definedName name="OUTPUT">#REF!</definedName>
    <definedName name="OUTPUTE">#REF!</definedName>
    <definedName name="OUTPUTPR">#REF!</definedName>
    <definedName name="Pago_CND_Isagen_Gen">#REF!</definedName>
    <definedName name="Pago_CRDs_Isagen_Gen">#REF!</definedName>
    <definedName name="Pago_SIC_Isagen_Gen">#REF!</definedName>
    <definedName name="PbolsaKte">'[2]Supuestos Generación - Precios'!$B$250:$M$250</definedName>
    <definedName name="PcompraBolsaKte">'[2]Supuestos Generación - Precios'!$B$324:$M$324</definedName>
    <definedName name="PcontratosCFIKte">'[2]Supuestos Generación - Precios'!$B$292:$M$292</definedName>
    <definedName name="PcontratosMEMKte">'[2]Supuestos Generación - Precios'!$B$272:$M$272</definedName>
    <definedName name="PLANFIN">#REF!</definedName>
    <definedName name="PORTA">#REF!</definedName>
    <definedName name="POTE">#REF!</definedName>
    <definedName name="PrecioComprasContratos">#REF!</definedName>
    <definedName name="PREST">#REF!</definedName>
    <definedName name="PRESTTOT">#REF!</definedName>
    <definedName name="Print_Area_MI">#REF!</definedName>
    <definedName name="PSCREEN">#REF!</definedName>
    <definedName name="PUNTO">#REF!</definedName>
    <definedName name="PventaBolsaKte">'[2]Supuestos Generación - Precios'!$B$323:$M$323</definedName>
    <definedName name="PYG">#REF!</definedName>
    <definedName name="RCRT_ISAGEN_Amoyá">#REF!</definedName>
    <definedName name="RDn_1">#REF!</definedName>
    <definedName name="RDn_2">#REF!</definedName>
    <definedName name="RE_BALANCE">#REF!</definedName>
    <definedName name="RE_BALANE_DOL">#REF!</definedName>
    <definedName name="RE_FdeF">#REF!</definedName>
    <definedName name="RE_FdeF_DOLAR">#REF!</definedName>
    <definedName name="RE_PYG">#REF!</definedName>
    <definedName name="RE_PyG_DOLAR">#REF!</definedName>
    <definedName name="RELAC">#REF!</definedName>
    <definedName name="REPO2">#REF!</definedName>
    <definedName name="REPOCALC">#REF!</definedName>
    <definedName name="REPOPRO">#REF!</definedName>
    <definedName name="REPSUB">#REF!</definedName>
    <definedName name="RESSAL">#REF!</definedName>
    <definedName name="Restricciones">#REF!</definedName>
    <definedName name="RFCRo">#REF!</definedName>
    <definedName name="RFP">#REF!</definedName>
    <definedName name="RFPC">#REF!</definedName>
    <definedName name="RFTITLE">#REF!</definedName>
    <definedName name="RICNDo">#REF!</definedName>
    <definedName name="RPCNDo">#REF!</definedName>
    <definedName name="RUTIAN4">#REF!</definedName>
    <definedName name="RUTINA3">#REF!</definedName>
    <definedName name="RUTINA4">#REF!</definedName>
    <definedName name="S309MONE">#REF!</definedName>
    <definedName name="SCREEN">#REF!</definedName>
    <definedName name="Set">" "</definedName>
    <definedName name="SIT">#REF!</definedName>
    <definedName name="SPWS_WBID">"46DDBCC0-4508-42B6-9CBB-69E5C84623A4"</definedName>
    <definedName name="SSP">#REF!</definedName>
    <definedName name="T1RES">#REF!</definedName>
    <definedName name="TABLA1">#REF!</definedName>
    <definedName name="Tabla2">#REF!</definedName>
    <definedName name="TarifaLey99_HE">'[2]Supuestos cargos MEM - Aportes'!$B$154:$M$154</definedName>
    <definedName name="TARSPMOD">#REF!</definedName>
    <definedName name="TASA">#REF!</definedName>
    <definedName name="TasaCambioPromedia">#REF!</definedName>
    <definedName name="TasaDeCambio">'[2]Supuestos Combustibles'!#REF!</definedName>
    <definedName name="TASATOT">#REF!</definedName>
    <definedName name="TEMPO">#REF!</definedName>
    <definedName name="ticker">#REF!</definedName>
    <definedName name="TIPOIN">#REF!</definedName>
    <definedName name="TituloEstudio">#REF!</definedName>
    <definedName name="TRANSIT">#REF!</definedName>
    <definedName name="Ventas_contratos_GenPropia">#REF!</definedName>
    <definedName name="VentasBolsa">'[2]Modelo Proyecciones'!$B$32:$M$32</definedName>
    <definedName name="VPN">#REF!</definedName>
    <definedName name="VtasComprasForzadas">#REF!</definedName>
    <definedName name="VtasGas">#REF!</definedName>
    <definedName name="VtasST">#REF!</definedName>
    <definedName name="WH">#REF!</definedName>
    <definedName name="WHC">#REF!</definedName>
    <definedName name="WP">#REF!</definedName>
    <definedName name="x">'[4]Cto de Patrimonio y Capital'!$C$1</definedName>
    <definedName name="X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49" l="1"/>
  <c r="H3" i="49"/>
  <c r="E16" i="49"/>
  <c r="E17" i="49"/>
  <c r="E18" i="49"/>
  <c r="E19" i="49"/>
  <c r="E15" i="49"/>
  <c r="E4" i="49"/>
  <c r="E5" i="49"/>
  <c r="E6" i="49"/>
  <c r="E7" i="49"/>
  <c r="E8" i="49"/>
  <c r="E9" i="49"/>
  <c r="E3" i="49"/>
  <c r="B3" i="49"/>
  <c r="G29" i="20"/>
  <c r="H29" i="20" s="1"/>
  <c r="E21" i="16"/>
  <c r="F21" i="16"/>
  <c r="G21" i="16"/>
  <c r="H21" i="16"/>
  <c r="D21" i="16"/>
  <c r="I29" i="20" l="1"/>
  <c r="G24" i="4" l="1"/>
  <c r="H24" i="4"/>
  <c r="I24" i="4"/>
  <c r="F24" i="4"/>
  <c r="E24" i="4"/>
  <c r="E11" i="49"/>
  <c r="B13" i="49"/>
  <c r="E35" i="20"/>
  <c r="G35" i="20" s="1"/>
  <c r="H35" i="20" s="1"/>
  <c r="I35" i="20" s="1"/>
  <c r="D30" i="20"/>
  <c r="G30" i="20" s="1"/>
  <c r="H30" i="20" s="1"/>
  <c r="I30" i="20" s="1"/>
  <c r="E30" i="20"/>
  <c r="E31" i="20"/>
  <c r="G31" i="20" s="1"/>
  <c r="H31" i="20" s="1"/>
  <c r="I31" i="20" s="1"/>
  <c r="E32" i="20"/>
  <c r="G32" i="20" s="1"/>
  <c r="H32" i="20" s="1"/>
  <c r="I32" i="20" s="1"/>
  <c r="D22" i="20"/>
  <c r="G22" i="20" s="1"/>
  <c r="H22" i="20" s="1"/>
  <c r="I22" i="20" s="1"/>
  <c r="C21" i="20"/>
  <c r="G21" i="20" s="1"/>
  <c r="H21" i="20" s="1"/>
  <c r="I21" i="20" s="1"/>
  <c r="D21" i="20"/>
  <c r="E21" i="20"/>
  <c r="F21" i="20"/>
  <c r="D23" i="20"/>
  <c r="G23" i="20" s="1"/>
  <c r="H23" i="20" s="1"/>
  <c r="I23" i="20" s="1"/>
  <c r="E23" i="20"/>
  <c r="D24" i="20"/>
  <c r="E24" i="20"/>
  <c r="G24" i="20" s="1"/>
  <c r="H24" i="20" s="1"/>
  <c r="I24" i="20" s="1"/>
  <c r="F20" i="20"/>
  <c r="E20" i="20"/>
  <c r="D20" i="20"/>
  <c r="C20" i="20"/>
  <c r="G14" i="20"/>
  <c r="G31" i="4"/>
  <c r="E14" i="4"/>
  <c r="E7" i="4"/>
  <c r="G11" i="20"/>
  <c r="G57" i="18"/>
  <c r="H57" i="18" s="1"/>
  <c r="I57" i="18" s="1"/>
  <c r="G43" i="18"/>
  <c r="H43" i="18" s="1"/>
  <c r="I43" i="18" s="1"/>
  <c r="G55" i="18"/>
  <c r="H55" i="18" s="1"/>
  <c r="I55" i="18" s="1"/>
  <c r="G44" i="18"/>
  <c r="H44" i="18" s="1"/>
  <c r="I44" i="18" s="1"/>
  <c r="G56" i="18"/>
  <c r="H56" i="18" s="1"/>
  <c r="I56" i="18" s="1"/>
  <c r="G58" i="18"/>
  <c r="H58" i="18" s="1"/>
  <c r="I58" i="18" s="1"/>
  <c r="G26" i="18"/>
  <c r="H26" i="18" s="1"/>
  <c r="I26" i="18" s="1"/>
  <c r="G29" i="18"/>
  <c r="H29" i="18" s="1"/>
  <c r="I29" i="18" s="1"/>
  <c r="G10" i="18"/>
  <c r="H10" i="18" s="1"/>
  <c r="I10" i="18" s="1"/>
  <c r="G14" i="18"/>
  <c r="H14" i="18" s="1"/>
  <c r="I14" i="18" s="1"/>
  <c r="C59" i="18"/>
  <c r="D59" i="18"/>
  <c r="E59" i="18"/>
  <c r="F59" i="18"/>
  <c r="E84" i="1"/>
  <c r="D28" i="18"/>
  <c r="E28" i="18"/>
  <c r="F28" i="18"/>
  <c r="C28" i="18"/>
  <c r="F25" i="18"/>
  <c r="E25" i="18"/>
  <c r="D27" i="18"/>
  <c r="E27" i="18"/>
  <c r="F27" i="18"/>
  <c r="C27" i="18"/>
  <c r="E17" i="18"/>
  <c r="F17" i="18"/>
  <c r="F16" i="18"/>
  <c r="E16" i="18"/>
  <c r="E15" i="18"/>
  <c r="G15" i="18" s="1"/>
  <c r="H15" i="18" s="1"/>
  <c r="I15" i="18" s="1"/>
  <c r="D11" i="18"/>
  <c r="E11" i="18"/>
  <c r="F11" i="18"/>
  <c r="D12" i="18"/>
  <c r="E12" i="18"/>
  <c r="F12" i="18"/>
  <c r="D13" i="18"/>
  <c r="E13" i="18"/>
  <c r="F13" i="18"/>
  <c r="C12" i="18"/>
  <c r="C13" i="18"/>
  <c r="C11" i="18"/>
  <c r="D9" i="18"/>
  <c r="E9" i="18"/>
  <c r="F9" i="18"/>
  <c r="C9" i="18"/>
  <c r="D12" i="20"/>
  <c r="E12" i="20"/>
  <c r="F12" i="20"/>
  <c r="D13" i="20"/>
  <c r="E13" i="20"/>
  <c r="F13" i="20"/>
  <c r="C13" i="20"/>
  <c r="C12" i="20"/>
  <c r="C7" i="20"/>
  <c r="D7" i="20"/>
  <c r="E7" i="20"/>
  <c r="F7" i="20"/>
  <c r="E69" i="18"/>
  <c r="G69" i="18" s="1"/>
  <c r="H69" i="18" s="1"/>
  <c r="D67" i="18"/>
  <c r="E67" i="18"/>
  <c r="F67" i="18"/>
  <c r="D68" i="18"/>
  <c r="E68" i="18"/>
  <c r="F68" i="18"/>
  <c r="D70" i="18"/>
  <c r="E70" i="18"/>
  <c r="F70" i="18"/>
  <c r="D71" i="18"/>
  <c r="E71" i="18"/>
  <c r="F71" i="18"/>
  <c r="C71" i="18"/>
  <c r="D45" i="18"/>
  <c r="E45" i="18"/>
  <c r="F45" i="18"/>
  <c r="D46" i="18"/>
  <c r="E46" i="18"/>
  <c r="F46" i="18"/>
  <c r="D47" i="18"/>
  <c r="E47" i="18"/>
  <c r="F47" i="18"/>
  <c r="D48" i="18"/>
  <c r="E48" i="18"/>
  <c r="F48" i="18"/>
  <c r="D49" i="18"/>
  <c r="E49" i="18"/>
  <c r="F49" i="18"/>
  <c r="C46" i="18"/>
  <c r="C47" i="18"/>
  <c r="C48" i="18"/>
  <c r="C49" i="18"/>
  <c r="C45" i="18"/>
  <c r="D33" i="18"/>
  <c r="E33" i="18"/>
  <c r="F33" i="18"/>
  <c r="C33" i="18"/>
  <c r="D32" i="18"/>
  <c r="E32" i="18"/>
  <c r="F32" i="18"/>
  <c r="C32" i="18"/>
  <c r="D31" i="18"/>
  <c r="E31" i="18"/>
  <c r="F31" i="18"/>
  <c r="C31" i="18"/>
  <c r="D30" i="18"/>
  <c r="E30" i="18"/>
  <c r="F30" i="18"/>
  <c r="C30" i="18"/>
  <c r="G48" i="18" l="1"/>
  <c r="H48" i="18" s="1"/>
  <c r="I48" i="18" s="1"/>
  <c r="G11" i="18"/>
  <c r="H11" i="18" s="1"/>
  <c r="I11" i="18" s="1"/>
  <c r="G68" i="18"/>
  <c r="H68" i="18" s="1"/>
  <c r="I68" i="18" s="1"/>
  <c r="G33" i="18"/>
  <c r="H33" i="18" s="1"/>
  <c r="I33" i="18" s="1"/>
  <c r="G49" i="18"/>
  <c r="H49" i="18" s="1"/>
  <c r="I49" i="18" s="1"/>
  <c r="G59" i="18"/>
  <c r="H59" i="18" s="1"/>
  <c r="I59" i="18" s="1"/>
  <c r="I60" i="18" s="1"/>
  <c r="G20" i="20"/>
  <c r="H20" i="20" s="1"/>
  <c r="G25" i="18"/>
  <c r="H25" i="18" s="1"/>
  <c r="I25" i="18" s="1"/>
  <c r="G46" i="18"/>
  <c r="H46" i="18" s="1"/>
  <c r="I46" i="18" s="1"/>
  <c r="G17" i="18"/>
  <c r="H17" i="18" s="1"/>
  <c r="I17" i="18" s="1"/>
  <c r="G32" i="18"/>
  <c r="H32" i="18" s="1"/>
  <c r="I32" i="18" s="1"/>
  <c r="G47" i="18"/>
  <c r="H47" i="18" s="1"/>
  <c r="I47" i="18" s="1"/>
  <c r="G9" i="18"/>
  <c r="H9" i="18" s="1"/>
  <c r="I9" i="18" s="1"/>
  <c r="G28" i="18"/>
  <c r="H28" i="18" s="1"/>
  <c r="I28" i="18" s="1"/>
  <c r="G16" i="18"/>
  <c r="H16" i="18" s="1"/>
  <c r="I16" i="18" s="1"/>
  <c r="G45" i="18"/>
  <c r="H45" i="18" s="1"/>
  <c r="I45" i="18" s="1"/>
  <c r="G31" i="18"/>
  <c r="H31" i="18" s="1"/>
  <c r="I31" i="18" s="1"/>
  <c r="G71" i="18"/>
  <c r="H71" i="18" s="1"/>
  <c r="I71" i="18" s="1"/>
  <c r="G13" i="18"/>
  <c r="H13" i="18" s="1"/>
  <c r="I13" i="18" s="1"/>
  <c r="G30" i="18"/>
  <c r="H30" i="18" s="1"/>
  <c r="I30" i="18" s="1"/>
  <c r="G27" i="18"/>
  <c r="H27" i="18" s="1"/>
  <c r="I27" i="18" s="1"/>
  <c r="G12" i="18"/>
  <c r="H12" i="18" s="1"/>
  <c r="I12" i="18" s="1"/>
  <c r="G12" i="20"/>
  <c r="H12" i="20" s="1"/>
  <c r="G7" i="20"/>
  <c r="H7" i="20" s="1"/>
  <c r="I7" i="20" s="1"/>
  <c r="E16" i="4"/>
  <c r="G13" i="20"/>
  <c r="H13" i="20" s="1"/>
  <c r="I13" i="20" s="1"/>
  <c r="I20" i="20" l="1"/>
  <c r="I27" i="20" s="1"/>
  <c r="H27" i="20"/>
  <c r="H60" i="18"/>
  <c r="E26" i="4"/>
  <c r="E32" i="4" s="1"/>
  <c r="I50" i="18"/>
  <c r="I63" i="18" s="1"/>
  <c r="I18" i="18"/>
  <c r="I34" i="18"/>
  <c r="H34" i="18"/>
  <c r="H18" i="18"/>
  <c r="H50" i="18"/>
  <c r="I12" i="20"/>
  <c r="H37" i="18" l="1"/>
  <c r="H63" i="18"/>
  <c r="I37" i="18"/>
  <c r="E36" i="4"/>
  <c r="E41" i="4"/>
  <c r="F7" i="4"/>
  <c r="G7" i="4"/>
  <c r="H7" i="4"/>
  <c r="I7" i="4"/>
  <c r="F14" i="4"/>
  <c r="C15" i="20" s="1"/>
  <c r="G14" i="4"/>
  <c r="D15" i="20" s="1"/>
  <c r="H14" i="4"/>
  <c r="E15" i="20" s="1"/>
  <c r="I14" i="4"/>
  <c r="E70" i="1"/>
  <c r="C70" i="18" s="1"/>
  <c r="G70" i="18" s="1"/>
  <c r="H70" i="18" s="1"/>
  <c r="I70" i="18" s="1"/>
  <c r="I72" i="18" s="1"/>
  <c r="E61" i="1"/>
  <c r="E51" i="1"/>
  <c r="E31" i="1"/>
  <c r="I37" i="20" l="1"/>
  <c r="F15" i="20"/>
  <c r="G15" i="20" s="1"/>
  <c r="H15" i="20" s="1"/>
  <c r="I16" i="4"/>
  <c r="I26" i="4" s="1"/>
  <c r="I32" i="4" s="1"/>
  <c r="H16" i="4"/>
  <c r="H26" i="4" s="1"/>
  <c r="H32" i="4" s="1"/>
  <c r="G16" i="4"/>
  <c r="G26" i="4" s="1"/>
  <c r="G32" i="4" s="1"/>
  <c r="F16" i="4"/>
  <c r="C8" i="20"/>
  <c r="E73" i="1"/>
  <c r="E75" i="1" s="1"/>
  <c r="E63" i="1"/>
  <c r="G36" i="4" l="1"/>
  <c r="G41" i="4"/>
  <c r="I36" i="4"/>
  <c r="I41" i="4"/>
  <c r="H36" i="4"/>
  <c r="H41" i="4"/>
  <c r="I15" i="20"/>
  <c r="I17" i="20" s="1"/>
  <c r="H17" i="20"/>
  <c r="F26" i="4"/>
  <c r="F32" i="4" s="1"/>
  <c r="F36" i="4" l="1"/>
  <c r="F41" i="4"/>
  <c r="D41" i="4" s="1"/>
  <c r="H37" i="20" s="1"/>
  <c r="I73" i="1" l="1"/>
  <c r="I75" i="1" s="1"/>
  <c r="D6" i="20"/>
  <c r="E6" i="20"/>
  <c r="F6" i="20"/>
  <c r="C6" i="20"/>
  <c r="G6" i="20" l="1"/>
  <c r="H6" i="20" s="1"/>
  <c r="H8" i="20" s="1"/>
  <c r="I6" i="20" l="1"/>
  <c r="I8" i="20" s="1"/>
  <c r="C67" i="18"/>
  <c r="G67" i="18" s="1"/>
  <c r="H67" i="18" s="1"/>
  <c r="H72" i="18" l="1"/>
  <c r="I67" i="18"/>
  <c r="E17" i="1" l="1"/>
  <c r="F31" i="1"/>
  <c r="C35" i="18" s="1"/>
  <c r="G31" i="1"/>
  <c r="H31" i="1"/>
  <c r="I31" i="1"/>
  <c r="F17" i="1"/>
  <c r="G17" i="1"/>
  <c r="H17" i="1"/>
  <c r="I17" i="1"/>
  <c r="F22" i="16" l="1"/>
  <c r="H22" i="16"/>
  <c r="G22" i="16"/>
  <c r="E22" i="16"/>
  <c r="E33" i="1"/>
  <c r="D23" i="16" s="1"/>
  <c r="D22" i="16"/>
  <c r="D6" i="16"/>
  <c r="D16" i="16"/>
  <c r="F35" i="18"/>
  <c r="E35" i="18"/>
  <c r="D35" i="18"/>
  <c r="F84" i="1" l="1"/>
  <c r="G84" i="1"/>
  <c r="H84" i="1"/>
  <c r="I84" i="1"/>
  <c r="F73" i="1"/>
  <c r="F75" i="1" s="1"/>
  <c r="G73" i="1"/>
  <c r="G75" i="1" s="1"/>
  <c r="H73" i="1"/>
  <c r="H75" i="1" s="1"/>
  <c r="F61" i="1"/>
  <c r="G61" i="1"/>
  <c r="H61" i="1"/>
  <c r="I61" i="1"/>
  <c r="F51" i="1"/>
  <c r="G51" i="1"/>
  <c r="H51" i="1"/>
  <c r="I51" i="1"/>
  <c r="F37" i="1"/>
  <c r="G37" i="1"/>
  <c r="H37" i="1"/>
  <c r="I37" i="1"/>
  <c r="E37" i="1"/>
  <c r="E16" i="16" l="1"/>
  <c r="E6" i="16"/>
  <c r="F16" i="16"/>
  <c r="F6" i="16"/>
  <c r="H6" i="16"/>
  <c r="H16" i="16"/>
  <c r="G6" i="16"/>
  <c r="G16" i="16"/>
  <c r="G7" i="16"/>
  <c r="F7" i="16"/>
  <c r="D7" i="16"/>
  <c r="E7" i="16"/>
  <c r="H7" i="16"/>
  <c r="C75" i="18"/>
  <c r="E8" i="20"/>
  <c r="D8" i="20"/>
  <c r="F8" i="20"/>
  <c r="G63" i="1"/>
  <c r="I63" i="1"/>
  <c r="F63" i="1"/>
  <c r="F33" i="1"/>
  <c r="E23" i="16" s="1"/>
  <c r="H63" i="1"/>
  <c r="I33" i="1"/>
  <c r="H23" i="16" s="1"/>
  <c r="H33" i="1"/>
  <c r="G23" i="16" s="1"/>
  <c r="G33" i="1"/>
  <c r="F23" i="16" s="1"/>
  <c r="F75" i="18" l="1"/>
  <c r="E75" i="18"/>
  <c r="D75" i="18"/>
  <c r="G75" i="18" s="1"/>
  <c r="H75" i="18" s="1"/>
  <c r="I75" i="18" l="1"/>
  <c r="I77" i="18" s="1"/>
  <c r="H77" i="18"/>
  <c r="E77" i="1" l="1"/>
  <c r="E79" i="1" s="1"/>
  <c r="F77" i="1" l="1"/>
  <c r="I77" i="1"/>
  <c r="E86" i="1" l="1"/>
  <c r="H77" i="1"/>
  <c r="G77" i="1"/>
  <c r="F79" i="1"/>
  <c r="F86" i="1" s="1"/>
  <c r="I79" i="1"/>
  <c r="I86" i="1" s="1"/>
  <c r="G79" i="1" l="1"/>
  <c r="G86" i="1" s="1"/>
  <c r="H79" i="1"/>
  <c r="H86" i="1" s="1"/>
</calcChain>
</file>

<file path=xl/sharedStrings.xml><?xml version="1.0" encoding="utf-8"?>
<sst xmlns="http://schemas.openxmlformats.org/spreadsheetml/2006/main" count="283" uniqueCount="129">
  <si>
    <t>ACTIVO</t>
  </si>
  <si>
    <t>ACTIVO CORRIENTE</t>
  </si>
  <si>
    <t>TOTAL ACTIVO CORRIENTE</t>
  </si>
  <si>
    <t xml:space="preserve">TOTAL ACTIVO </t>
  </si>
  <si>
    <t>TOTAL ACTIVO NO CORRIENTE</t>
  </si>
  <si>
    <t xml:space="preserve">Cuentas de orden deudoras </t>
  </si>
  <si>
    <t xml:space="preserve">Cuentas de orden acreedoras por el contrario </t>
  </si>
  <si>
    <t>TOTAL CUENTAS DE ORDEN</t>
  </si>
  <si>
    <t>PASIVO</t>
  </si>
  <si>
    <t>PASIVO CORRIENTE</t>
  </si>
  <si>
    <t>ACTIVO NO CORRIENTE</t>
  </si>
  <si>
    <t>Obligaciones Financieras</t>
  </si>
  <si>
    <t>TOTAL PASIVO CORRIENTE</t>
  </si>
  <si>
    <t>PASIVO NO CORRIENTE</t>
  </si>
  <si>
    <t>TOTAL PASIVO NO CORRIENTE</t>
  </si>
  <si>
    <t>TOTAL PASIVO</t>
  </si>
  <si>
    <t>CAPITAL SUSCRITO Y PAGADO</t>
  </si>
  <si>
    <t>Capital social</t>
  </si>
  <si>
    <t>PATRIMONIO</t>
  </si>
  <si>
    <t>TOTAL PATRIMONIO</t>
  </si>
  <si>
    <t>TOTAL PASIVO Y PATRIMONIO</t>
  </si>
  <si>
    <t xml:space="preserve">Cuentas de orden acreedoras </t>
  </si>
  <si>
    <t xml:space="preserve">Cuentas de orden deudoras por el contrario </t>
  </si>
  <si>
    <t>INGRESOS OPERACIONALES</t>
  </si>
  <si>
    <t>UTILIDAD BRUTA</t>
  </si>
  <si>
    <t>TOTAL OTROS INGRESOS Y EGRESOS NETOS</t>
  </si>
  <si>
    <t>Proveedores</t>
  </si>
  <si>
    <t>PRUEBA</t>
  </si>
  <si>
    <t>Valores expresados en miles de pesos</t>
  </si>
  <si>
    <t>ENDEUDAMIENTO - CALIDAD DE LA ESTRUCTURA FINANCIERA</t>
  </si>
  <si>
    <t>INDICADOR</t>
  </si>
  <si>
    <t>FORMULA</t>
  </si>
  <si>
    <t>INTERPRETACIÓN</t>
  </si>
  <si>
    <t>TENDENCIA</t>
  </si>
  <si>
    <t xml:space="preserve">Por cada $ de pasivo total cuantos $ tengo en los activos para soportarlo </t>
  </si>
  <si>
    <t>AUMENTAR</t>
  </si>
  <si>
    <t>DISMINUIR</t>
  </si>
  <si>
    <t>ANÁLISIS HORIZONTAL BALANCE GENERAL</t>
  </si>
  <si>
    <t>ANÁLISIS HORIZONTAL ESTADO DE RESULTADOS</t>
  </si>
  <si>
    <t>ANÁLISIS DE LIQUIDEZ</t>
  </si>
  <si>
    <t>PRUEBA ÁCIDA</t>
  </si>
  <si>
    <t>(ACTIVO CTE - INVENTARIO) / PASIVO CTE</t>
  </si>
  <si>
    <t>DÍAS DE ROTACIÓN CARTERA</t>
  </si>
  <si>
    <t>(CARTERA PROMEDIO/VENTAS) * 365</t>
  </si>
  <si>
    <t>DÍAS DE ROTACIÓN INVENTARIO</t>
  </si>
  <si>
    <t>(INV PROMEDIO/COSTOS DE VENTA) * 365</t>
  </si>
  <si>
    <t>DÍAS DE ROTACIÓN PROVEEDORES</t>
  </si>
  <si>
    <t>(PROVEEDOR PROMEDIO/COMPRAS) * 365</t>
  </si>
  <si>
    <t>CICLO OPERACIONAL</t>
  </si>
  <si>
    <t>Por cada $ del pasivo corriente, cuantos $ hay en el activo corriente para responder por el, pero sin los inventarios porque son los menos líquidos</t>
  </si>
  <si>
    <t>Tiempo que se esta demorando el pago de cartera, desde el día de la venta hasta que me pagan</t>
  </si>
  <si>
    <t>DISMINUIR/AJUSTE A LA POLÍTICA</t>
  </si>
  <si>
    <t>Tiempo que se esta demorando el inventario, desde el día que lo hago hasta la venta. El promedio sale de sumar el inventario inicial y el final y dividirlo entre 2</t>
  </si>
  <si>
    <t>Tiempo que se esta demorando el pago a proveedores</t>
  </si>
  <si>
    <t>AUMENTAR/AJUSTE A LA POLÍTICA</t>
  </si>
  <si>
    <t>Expresión en días del KTNO, cuantos días debo financiar. Puntal no dice nada, pero si se ve creciendo periódicamente es malo</t>
  </si>
  <si>
    <t>%ROE</t>
  </si>
  <si>
    <t>UAI/PATRIMONIO</t>
  </si>
  <si>
    <t>Retorno sobre patrimonio</t>
  </si>
  <si>
    <t>CRECIENTE</t>
  </si>
  <si>
    <t>%ROI</t>
  </si>
  <si>
    <t>UAII/ACTIVOS OPERATIVOS</t>
  </si>
  <si>
    <t>Rentabilidad sobre la inversión en activos operativos. Es el producto entre la eficiencia operativa * margen operativo</t>
  </si>
  <si>
    <t>RENTABILIDAD</t>
  </si>
  <si>
    <t>Inventarios</t>
  </si>
  <si>
    <t>ESTADO DE RESULTADOS HISTÓRICO</t>
  </si>
  <si>
    <t>PROMEDIO</t>
  </si>
  <si>
    <t xml:space="preserve">BALANCE GENERAL </t>
  </si>
  <si>
    <t>Efectivo y equivalentes del efectivo</t>
  </si>
  <si>
    <t>Activos Financieros</t>
  </si>
  <si>
    <t>Clientes</t>
  </si>
  <si>
    <t>Otros activos financieros</t>
  </si>
  <si>
    <t>Otros activos no financieros</t>
  </si>
  <si>
    <t>Gastos Pagados Por Anticipado</t>
  </si>
  <si>
    <t>Intangibles</t>
  </si>
  <si>
    <t>Contrato de Usufructo</t>
  </si>
  <si>
    <t>Activo por impuesto diferido</t>
  </si>
  <si>
    <t>Contrato de usufructo</t>
  </si>
  <si>
    <t>Inventarios no corriente</t>
  </si>
  <si>
    <t>PROPIEDADES, PLANTA Y EQUIPO, al Costo menos despreciacón acumulada añó 2018 $306.551 año 2017 - $173.937</t>
  </si>
  <si>
    <t>Activos Biológicos</t>
  </si>
  <si>
    <t>Revalucación Activos Fijos</t>
  </si>
  <si>
    <t>--</t>
  </si>
  <si>
    <t>Pasivos financieros</t>
  </si>
  <si>
    <t>Otras cuentas por pagar</t>
  </si>
  <si>
    <t>Anticipos Recibidos</t>
  </si>
  <si>
    <t>Pasivo por impuestos corrientes</t>
  </si>
  <si>
    <t>Beneficios a empleados</t>
  </si>
  <si>
    <t>Pasivo por impuestos no corrientes</t>
  </si>
  <si>
    <t>Otras cuentas por pagar no corrientes</t>
  </si>
  <si>
    <t>Anticipos recibidos no corrientes</t>
  </si>
  <si>
    <t>Pasivo por impuesto no corrientes</t>
  </si>
  <si>
    <t>Pasivo por impuesto diferido</t>
  </si>
  <si>
    <t>Pérdidas acumuladas</t>
  </si>
  <si>
    <t>Utilidad (Pérdida) acumuladas</t>
  </si>
  <si>
    <t>Utilidad (Pérdida) del periodo</t>
  </si>
  <si>
    <t>Superavit por revaluación</t>
  </si>
  <si>
    <t>Ingresos por actividades ordinarias</t>
  </si>
  <si>
    <t>Costo Operacionales</t>
  </si>
  <si>
    <t>Gastos operaciones</t>
  </si>
  <si>
    <t xml:space="preserve">De administación </t>
  </si>
  <si>
    <t>De ventas</t>
  </si>
  <si>
    <t>2018-2019</t>
  </si>
  <si>
    <t>2019-2020</t>
  </si>
  <si>
    <t>2020-2021</t>
  </si>
  <si>
    <t>2021-2022</t>
  </si>
  <si>
    <t>-</t>
  </si>
  <si>
    <t>Utilidad  (Pérdida) operacional</t>
  </si>
  <si>
    <t>Otros ingresos</t>
  </si>
  <si>
    <t>Otros gastos</t>
  </si>
  <si>
    <t>Diferencia en cambio (Gasto)</t>
  </si>
  <si>
    <t>Utilidad  (Pérdida) antes de impuestos sobre la renta</t>
  </si>
  <si>
    <t>Provisión impuesto de renta</t>
  </si>
  <si>
    <t>Impuesto de renta diferido neto</t>
  </si>
  <si>
    <t>Gasto por impuesto de renta diferido</t>
  </si>
  <si>
    <t>Gasto por impuesto</t>
  </si>
  <si>
    <t>Utilidad  (Pérdida) depués de impuestos</t>
  </si>
  <si>
    <t>Otro Resultado Integral</t>
  </si>
  <si>
    <t>Resultado integral Total</t>
  </si>
  <si>
    <t>PROYECCION</t>
  </si>
  <si>
    <t>CAPITAL DE TRABAJO</t>
  </si>
  <si>
    <t>ACTIVO CTE - PASIVO CTE</t>
  </si>
  <si>
    <t xml:space="preserve">SOLVENCIA </t>
  </si>
  <si>
    <t xml:space="preserve">ACTIVOS CTE / / PASIVO CTE </t>
  </si>
  <si>
    <t>UTILIDAD NETA/ACTIVOS</t>
  </si>
  <si>
    <t>%ROA</t>
  </si>
  <si>
    <t>PI</t>
  </si>
  <si>
    <t>rentabilidad sobre activos es capaz de generar una empresa en relación a los activos que refleja su balance.</t>
  </si>
  <si>
    <t>Capacidad de dinero con que se cuenta para hacer funcionar el negocio en el día a día, lo que implica el dinero suficiente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</si>
</sst>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??_);_(@_)"/>
    <numFmt numFmtId="167" formatCode="_(&quot;$&quot;\ * #,##0_);_(&quot;$&quot;\ * \(#,##0\);_(&quot;$&quot;\ * &quot;-&quot;??_);_(@_)"/>
    <numFmt numFmtId="168" formatCode="&quot;$&quot;\ #,##0"/>
    <numFmt numFmtId="169" formatCode="&quot;$&quot;\ #,##0.00"/>
    <numFmt numFmtId="170" formatCode="_(* #,##0.0_);_(* \(#,##0.0\);_(* &quot;-&quot;??_);_(@_)"/>
    <numFmt numFmtId="171" formatCode="&quot;$&quot;\ 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u/>
      <sz val="11"/>
      <color theme="2" tint="-0.749992370372631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Arial"/>
      <family val="2"/>
    </font>
    <font>
      <sz val="12"/>
      <color theme="2" tint="-0.749992370372631"/>
      <name val="Arial"/>
      <family val="2"/>
    </font>
    <font>
      <b/>
      <u/>
      <sz val="12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u/>
      <sz val="12"/>
      <name val="Arial"/>
      <family val="2"/>
    </font>
    <font>
      <sz val="12"/>
      <color rgb="FFFF0000"/>
      <name val="Arial"/>
      <family val="2"/>
    </font>
    <font>
      <sz val="12"/>
      <color rgb="FF009900"/>
      <name val="Arial"/>
      <family val="2"/>
    </font>
    <font>
      <b/>
      <sz val="12"/>
      <color rgb="FFFF0000"/>
      <name val="Arial"/>
      <family val="2"/>
    </font>
    <font>
      <b/>
      <sz val="12"/>
      <color rgb="FF0099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5" tint="0.40000610370189521"/>
        </stop>
        <stop position="0.5">
          <color theme="4" tint="0.59999389629810485"/>
        </stop>
        <stop position="1">
          <color theme="5" tint="0.40000610370189521"/>
        </stop>
      </gradientFill>
    </fill>
    <fill>
      <patternFill patternType="solid">
        <fgColor rgb="FFCCFF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auto="1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theme="2" tint="-0.24994659260841701"/>
      </left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/>
      <top style="medium">
        <color theme="2" tint="-0.24994659260841701"/>
      </top>
      <bottom style="medium">
        <color theme="2" tint="-0.24994659260841701"/>
      </bottom>
      <diagonal/>
    </border>
    <border>
      <left/>
      <right style="medium">
        <color theme="2" tint="-0.24994659260841701"/>
      </right>
      <top style="medium">
        <color theme="2" tint="-0.24994659260841701"/>
      </top>
      <bottom style="medium">
        <color theme="2" tint="-0.24994659260841701"/>
      </bottom>
      <diagonal/>
    </border>
    <border>
      <left style="dotted">
        <color theme="4" tint="-0.24994659260841701"/>
      </left>
      <right style="dotted">
        <color theme="4" tint="-0.24994659260841701"/>
      </right>
      <top style="dotted">
        <color theme="4" tint="-0.24994659260841701"/>
      </top>
      <bottom style="dotted">
        <color theme="4" tint="-0.24994659260841701"/>
      </bottom>
      <diagonal/>
    </border>
    <border>
      <left style="medium">
        <color theme="2" tint="-0.24994659260841701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  <xf numFmtId="9" fontId="1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0" fontId="14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6" fontId="5" fillId="0" borderId="0" xfId="1" applyNumberFormat="1" applyFont="1" applyFill="1" applyAlignment="1">
      <alignment vertical="center"/>
    </xf>
    <xf numFmtId="166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166" fontId="7" fillId="0" borderId="0" xfId="1" applyNumberFormat="1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166" fontId="7" fillId="0" borderId="4" xfId="1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10" fontId="7" fillId="0" borderId="6" xfId="4" applyNumberFormat="1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7" fillId="4" borderId="6" xfId="1" applyFont="1" applyFill="1" applyBorder="1" applyAlignment="1">
      <alignment vertical="center" wrapText="1"/>
    </xf>
    <xf numFmtId="166" fontId="3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6" fontId="12" fillId="0" borderId="0" xfId="0" applyNumberFormat="1" applyFont="1" applyAlignment="1">
      <alignment vertical="center"/>
    </xf>
    <xf numFmtId="10" fontId="7" fillId="0" borderId="6" xfId="4" applyNumberFormat="1" applyFont="1" applyFill="1" applyBorder="1" applyAlignment="1">
      <alignment vertical="center" wrapText="1"/>
    </xf>
    <xf numFmtId="165" fontId="7" fillId="0" borderId="6" xfId="1" applyFont="1" applyFill="1" applyBorder="1" applyAlignment="1">
      <alignment vertical="center" wrapText="1"/>
    </xf>
    <xf numFmtId="166" fontId="7" fillId="0" borderId="6" xfId="1" applyNumberFormat="1" applyFont="1" applyFill="1" applyBorder="1" applyAlignment="1">
      <alignment vertical="center" wrapText="1"/>
    </xf>
    <xf numFmtId="0" fontId="15" fillId="0" borderId="6" xfId="0" applyFont="1" applyBorder="1"/>
    <xf numFmtId="0" fontId="16" fillId="0" borderId="6" xfId="0" applyFont="1" applyBorder="1" applyAlignment="1">
      <alignment horizontal="left"/>
    </xf>
    <xf numFmtId="166" fontId="7" fillId="0" borderId="6" xfId="1" applyNumberFormat="1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168" fontId="17" fillId="0" borderId="6" xfId="0" applyNumberFormat="1" applyFont="1" applyBorder="1"/>
    <xf numFmtId="168" fontId="17" fillId="0" borderId="0" xfId="0" quotePrefix="1" applyNumberFormat="1" applyFont="1"/>
    <xf numFmtId="0" fontId="1" fillId="0" borderId="6" xfId="0" applyFont="1" applyBorder="1"/>
    <xf numFmtId="168" fontId="17" fillId="0" borderId="6" xfId="0" quotePrefix="1" applyNumberFormat="1" applyFont="1" applyBorder="1"/>
    <xf numFmtId="0" fontId="17" fillId="0" borderId="6" xfId="0" applyFont="1" applyBorder="1" applyAlignment="1">
      <alignment horizontal="left"/>
    </xf>
    <xf numFmtId="0" fontId="0" fillId="0" borderId="6" xfId="0" applyBorder="1"/>
    <xf numFmtId="0" fontId="17" fillId="0" borderId="6" xfId="0" applyFont="1" applyBorder="1" applyAlignment="1">
      <alignment horizontal="left" wrapText="1"/>
    </xf>
    <xf numFmtId="168" fontId="17" fillId="0" borderId="6" xfId="0" applyNumberFormat="1" applyFont="1" applyBorder="1" applyAlignment="1">
      <alignment horizontal="right"/>
    </xf>
    <xf numFmtId="169" fontId="17" fillId="0" borderId="6" xfId="0" applyNumberFormat="1" applyFont="1" applyBorder="1"/>
    <xf numFmtId="168" fontId="0" fillId="0" borderId="0" xfId="0" applyNumberFormat="1" applyAlignment="1">
      <alignment vertical="center"/>
    </xf>
    <xf numFmtId="168" fontId="0" fillId="0" borderId="0" xfId="0" applyNumberFormat="1"/>
    <xf numFmtId="168" fontId="17" fillId="7" borderId="6" xfId="0" applyNumberFormat="1" applyFont="1" applyFill="1" applyBorder="1"/>
    <xf numFmtId="168" fontId="17" fillId="7" borderId="6" xfId="0" applyNumberFormat="1" applyFont="1" applyFill="1" applyBorder="1" applyAlignment="1">
      <alignment horizontal="right"/>
    </xf>
    <xf numFmtId="166" fontId="5" fillId="7" borderId="0" xfId="1" applyNumberFormat="1" applyFont="1" applyFill="1" applyAlignment="1">
      <alignment vertical="center"/>
    </xf>
    <xf numFmtId="0" fontId="17" fillId="2" borderId="6" xfId="0" applyFont="1" applyFill="1" applyBorder="1" applyAlignment="1">
      <alignment horizontal="left"/>
    </xf>
    <xf numFmtId="168" fontId="17" fillId="2" borderId="6" xfId="0" applyNumberFormat="1" applyFont="1" applyFill="1" applyBorder="1"/>
    <xf numFmtId="166" fontId="5" fillId="8" borderId="0" xfId="1" applyNumberFormat="1" applyFont="1" applyFill="1" applyAlignment="1">
      <alignment vertical="center"/>
    </xf>
    <xf numFmtId="0" fontId="9" fillId="2" borderId="6" xfId="0" applyFont="1" applyFill="1" applyBorder="1" applyAlignment="1">
      <alignment vertical="center" wrapText="1"/>
    </xf>
    <xf numFmtId="166" fontId="7" fillId="2" borderId="6" xfId="1" applyNumberFormat="1" applyFont="1" applyFill="1" applyBorder="1" applyAlignment="1">
      <alignment vertical="center" wrapText="1"/>
    </xf>
    <xf numFmtId="165" fontId="7" fillId="2" borderId="6" xfId="1" applyFont="1" applyFill="1" applyBorder="1" applyAlignment="1">
      <alignment vertical="center" wrapText="1"/>
    </xf>
    <xf numFmtId="0" fontId="20" fillId="10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2" fillId="2" borderId="0" xfId="0" applyFont="1" applyFill="1" applyAlignment="1">
      <alignment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5" fillId="0" borderId="0" xfId="0" applyFont="1"/>
    <xf numFmtId="168" fontId="25" fillId="0" borderId="6" xfId="0" applyNumberFormat="1" applyFont="1" applyBorder="1"/>
    <xf numFmtId="166" fontId="24" fillId="0" borderId="0" xfId="1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/>
    </xf>
    <xf numFmtId="168" fontId="25" fillId="0" borderId="0" xfId="0" applyNumberFormat="1" applyFont="1"/>
    <xf numFmtId="0" fontId="26" fillId="0" borderId="0" xfId="0" applyFont="1" applyAlignment="1">
      <alignment horizontal="left"/>
    </xf>
    <xf numFmtId="166" fontId="25" fillId="0" borderId="0" xfId="1" applyNumberFormat="1" applyFont="1" applyFill="1" applyBorder="1" applyAlignment="1">
      <alignment vertical="center"/>
    </xf>
    <xf numFmtId="168" fontId="25" fillId="0" borderId="6" xfId="0" quotePrefix="1" applyNumberFormat="1" applyFont="1" applyBorder="1"/>
    <xf numFmtId="0" fontId="25" fillId="0" borderId="6" xfId="0" applyFont="1" applyBorder="1"/>
    <xf numFmtId="0" fontId="27" fillId="2" borderId="0" xfId="0" applyFont="1" applyFill="1" applyAlignment="1">
      <alignment vertical="center"/>
    </xf>
    <xf numFmtId="168" fontId="27" fillId="8" borderId="0" xfId="0" applyNumberFormat="1" applyFont="1" applyFill="1"/>
    <xf numFmtId="166" fontId="24" fillId="0" borderId="0" xfId="1" applyNumberFormat="1" applyFont="1" applyFill="1" applyBorder="1" applyAlignment="1">
      <alignment vertical="center"/>
    </xf>
    <xf numFmtId="0" fontId="26" fillId="0" borderId="0" xfId="0" applyFont="1" applyAlignment="1">
      <alignment horizontal="left" wrapText="1"/>
    </xf>
    <xf numFmtId="0" fontId="24" fillId="0" borderId="0" xfId="0" applyFont="1" applyAlignment="1">
      <alignment vertical="center"/>
    </xf>
    <xf numFmtId="168" fontId="25" fillId="0" borderId="6" xfId="0" quotePrefix="1" applyNumberFormat="1" applyFont="1" applyBorder="1" applyAlignment="1">
      <alignment horizontal="center"/>
    </xf>
    <xf numFmtId="0" fontId="25" fillId="0" borderId="6" xfId="0" applyFont="1" applyBorder="1" applyAlignment="1">
      <alignment vertical="center"/>
    </xf>
    <xf numFmtId="169" fontId="25" fillId="0" borderId="6" xfId="0" applyNumberFormat="1" applyFont="1" applyBorder="1"/>
    <xf numFmtId="0" fontId="25" fillId="6" borderId="0" xfId="0" applyFont="1" applyFill="1" applyAlignment="1">
      <alignment vertical="center"/>
    </xf>
    <xf numFmtId="168" fontId="28" fillId="6" borderId="0" xfId="0" applyNumberFormat="1" applyFont="1" applyFill="1"/>
    <xf numFmtId="9" fontId="25" fillId="0" borderId="0" xfId="0" applyNumberFormat="1" applyFont="1" applyAlignment="1">
      <alignment vertical="center"/>
    </xf>
    <xf numFmtId="9" fontId="25" fillId="0" borderId="0" xfId="4" applyFont="1" applyFill="1" applyBorder="1" applyAlignment="1">
      <alignment vertical="center"/>
    </xf>
    <xf numFmtId="166" fontId="25" fillId="0" borderId="0" xfId="0" applyNumberFormat="1" applyFont="1" applyAlignment="1">
      <alignment vertical="center"/>
    </xf>
    <xf numFmtId="0" fontId="29" fillId="2" borderId="0" xfId="0" applyFont="1" applyFill="1" applyAlignment="1">
      <alignment horizontal="center" vertical="center"/>
    </xf>
    <xf numFmtId="0" fontId="30" fillId="0" borderId="0" xfId="0" applyFont="1" applyAlignment="1">
      <alignment vertical="center"/>
    </xf>
    <xf numFmtId="164" fontId="30" fillId="0" borderId="0" xfId="5" applyFont="1" applyAlignment="1">
      <alignment vertical="center"/>
    </xf>
    <xf numFmtId="10" fontId="25" fillId="0" borderId="4" xfId="4" applyNumberFormat="1" applyFont="1" applyFill="1" applyBorder="1" applyAlignment="1">
      <alignment vertical="center"/>
    </xf>
    <xf numFmtId="9" fontId="31" fillId="0" borderId="0" xfId="0" applyNumberFormat="1" applyFont="1" applyAlignment="1">
      <alignment vertical="center"/>
    </xf>
    <xf numFmtId="167" fontId="31" fillId="0" borderId="0" xfId="5" applyNumberFormat="1" applyFont="1" applyAlignment="1">
      <alignment vertical="center"/>
    </xf>
    <xf numFmtId="168" fontId="31" fillId="0" borderId="0" xfId="0" applyNumberFormat="1" applyFont="1" applyAlignment="1">
      <alignment vertical="center"/>
    </xf>
    <xf numFmtId="0" fontId="25" fillId="0" borderId="6" xfId="0" applyFont="1" applyBorder="1" applyAlignment="1">
      <alignment horizontal="left"/>
    </xf>
    <xf numFmtId="10" fontId="25" fillId="2" borderId="4" xfId="4" applyNumberFormat="1" applyFont="1" applyFill="1" applyBorder="1" applyAlignment="1">
      <alignment vertical="center"/>
    </xf>
    <xf numFmtId="167" fontId="25" fillId="0" borderId="0" xfId="5" applyNumberFormat="1" applyFont="1" applyAlignment="1">
      <alignment vertical="center"/>
    </xf>
    <xf numFmtId="10" fontId="25" fillId="0" borderId="0" xfId="4" applyNumberFormat="1" applyFont="1" applyFill="1" applyBorder="1" applyAlignment="1">
      <alignment vertical="center"/>
    </xf>
    <xf numFmtId="167" fontId="26" fillId="0" borderId="0" xfId="5" applyNumberFormat="1" applyFont="1" applyAlignment="1">
      <alignment vertical="center"/>
    </xf>
    <xf numFmtId="167" fontId="26" fillId="0" borderId="0" xfId="0" applyNumberFormat="1" applyFont="1" applyAlignment="1">
      <alignment vertical="center"/>
    </xf>
    <xf numFmtId="164" fontId="25" fillId="0" borderId="0" xfId="5" applyFont="1" applyAlignment="1">
      <alignment vertical="center"/>
    </xf>
    <xf numFmtId="10" fontId="24" fillId="0" borderId="0" xfId="4" applyNumberFormat="1" applyFont="1" applyFill="1" applyAlignment="1">
      <alignment vertical="center"/>
    </xf>
    <xf numFmtId="10" fontId="25" fillId="0" borderId="0" xfId="0" applyNumberFormat="1" applyFont="1" applyAlignment="1">
      <alignment vertical="center"/>
    </xf>
    <xf numFmtId="0" fontId="25" fillId="0" borderId="6" xfId="0" applyFont="1" applyBorder="1" applyAlignment="1">
      <alignment horizontal="left" wrapText="1"/>
    </xf>
    <xf numFmtId="168" fontId="26" fillId="0" borderId="0" xfId="0" applyNumberFormat="1" applyFont="1" applyAlignment="1">
      <alignment vertical="center"/>
    </xf>
    <xf numFmtId="167" fontId="32" fillId="0" borderId="0" xfId="5" applyNumberFormat="1" applyFont="1" applyAlignment="1">
      <alignment vertical="center"/>
    </xf>
    <xf numFmtId="166" fontId="26" fillId="0" borderId="0" xfId="1" applyNumberFormat="1" applyFont="1" applyAlignment="1">
      <alignment vertical="center"/>
    </xf>
    <xf numFmtId="167" fontId="27" fillId="0" borderId="0" xfId="5" applyNumberFormat="1" applyFont="1" applyAlignment="1">
      <alignment vertical="center"/>
    </xf>
    <xf numFmtId="168" fontId="27" fillId="0" borderId="0" xfId="0" applyNumberFormat="1" applyFont="1" applyAlignment="1">
      <alignment vertical="center"/>
    </xf>
    <xf numFmtId="164" fontId="26" fillId="0" borderId="0" xfId="5" applyFont="1" applyAlignment="1">
      <alignment vertical="center"/>
    </xf>
    <xf numFmtId="0" fontId="25" fillId="0" borderId="4" xfId="0" applyFont="1" applyBorder="1" applyAlignment="1">
      <alignment vertical="center"/>
    </xf>
    <xf numFmtId="0" fontId="29" fillId="2" borderId="0" xfId="0" applyFont="1" applyFill="1" applyAlignment="1">
      <alignment horizontal="right"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6" fontId="33" fillId="0" borderId="0" xfId="1" applyNumberFormat="1" applyFont="1" applyFill="1" applyAlignment="1">
      <alignment vertical="center"/>
    </xf>
    <xf numFmtId="10" fontId="31" fillId="0" borderId="0" xfId="4" applyNumberFormat="1" applyFont="1" applyFill="1" applyBorder="1" applyAlignment="1">
      <alignment vertical="center"/>
    </xf>
    <xf numFmtId="167" fontId="31" fillId="0" borderId="0" xfId="5" applyNumberFormat="1" applyFont="1" applyBorder="1" applyAlignment="1">
      <alignment vertical="center"/>
    </xf>
    <xf numFmtId="166" fontId="27" fillId="0" borderId="0" xfId="1" applyNumberFormat="1" applyFont="1" applyFill="1" applyBorder="1" applyAlignment="1">
      <alignment vertical="center"/>
    </xf>
    <xf numFmtId="166" fontId="26" fillId="0" borderId="0" xfId="0" applyNumberFormat="1" applyFont="1" applyAlignment="1">
      <alignment vertical="center"/>
    </xf>
    <xf numFmtId="168" fontId="25" fillId="0" borderId="0" xfId="0" applyNumberFormat="1" applyFont="1" applyAlignment="1">
      <alignment vertical="center"/>
    </xf>
    <xf numFmtId="168" fontId="29" fillId="2" borderId="0" xfId="0" applyNumberFormat="1" applyFont="1" applyFill="1" applyAlignment="1">
      <alignment horizontal="center" vertical="center"/>
    </xf>
    <xf numFmtId="168" fontId="30" fillId="0" borderId="0" xfId="0" applyNumberFormat="1" applyFont="1" applyAlignment="1">
      <alignment vertical="center"/>
    </xf>
    <xf numFmtId="168" fontId="33" fillId="0" borderId="0" xfId="1" applyNumberFormat="1" applyFont="1" applyFill="1" applyAlignment="1">
      <alignment vertical="center"/>
    </xf>
    <xf numFmtId="168" fontId="31" fillId="0" borderId="0" xfId="4" applyNumberFormat="1" applyFont="1" applyFill="1" applyBorder="1" applyAlignment="1">
      <alignment vertical="center"/>
    </xf>
    <xf numFmtId="168" fontId="27" fillId="0" borderId="0" xfId="1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70" fontId="0" fillId="0" borderId="0" xfId="1" applyNumberFormat="1" applyFont="1" applyAlignment="1">
      <alignment vertical="center"/>
    </xf>
    <xf numFmtId="170" fontId="0" fillId="0" borderId="6" xfId="1" applyNumberFormat="1" applyFont="1" applyBorder="1"/>
    <xf numFmtId="170" fontId="5" fillId="0" borderId="0" xfId="1" applyNumberFormat="1" applyFont="1" applyFill="1" applyAlignment="1">
      <alignment vertical="center"/>
    </xf>
    <xf numFmtId="170" fontId="0" fillId="0" borderId="0" xfId="1" applyNumberFormat="1" applyFont="1"/>
    <xf numFmtId="171" fontId="0" fillId="11" borderId="0" xfId="0" applyNumberFormat="1" applyFill="1"/>
  </cellXfs>
  <cellStyles count="12">
    <cellStyle name="ANCLAS,REZONES Y SUS PARTES,DE FUNDICION,DE HIERRO O DE ACERO" xfId="9" xr:uid="{00000000-0005-0000-0000-000000000000}"/>
    <cellStyle name="Hipervínculo 2" xfId="6" xr:uid="{00000000-0005-0000-0000-000002000000}"/>
    <cellStyle name="Hipervínculo 3" xfId="11" xr:uid="{00000000-0005-0000-0000-000003000000}"/>
    <cellStyle name="Millares" xfId="1" builtinId="3"/>
    <cellStyle name="Millares 2" xfId="3" xr:uid="{00000000-0005-0000-0000-000005000000}"/>
    <cellStyle name="Moneda" xfId="5" builtinId="4"/>
    <cellStyle name="Normal" xfId="0" builtinId="0"/>
    <cellStyle name="Normal 2" xfId="2" xr:uid="{00000000-0005-0000-0000-000008000000}"/>
    <cellStyle name="Normal 3" xfId="7" xr:uid="{00000000-0005-0000-0000-000009000000}"/>
    <cellStyle name="Normal 4" xfId="10" xr:uid="{00000000-0005-0000-0000-00000A000000}"/>
    <cellStyle name="Porcentaje" xfId="4" builtinId="5"/>
    <cellStyle name="Porcentaje 2" xfId="8" xr:uid="{00000000-0005-0000-0000-00000C000000}"/>
  </cellStyles>
  <dxfs count="0"/>
  <tableStyles count="0" defaultTableStyle="TableStyleMedium2" defaultPivotStyle="PivotStyleLight16"/>
  <colors>
    <mruColors>
      <color rgb="FF009900"/>
      <color rgb="FFFF3300"/>
      <color rgb="FFFFFF66"/>
      <color rgb="FFFF896D"/>
      <color rgb="FFCC9900"/>
      <color rgb="FF6FD8FD"/>
      <color rgb="FFFFFF99"/>
      <color rgb="FFCCFFFF"/>
      <color rgb="FFCC99FF"/>
      <color rgb="FFF5F5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Vic.%20Mercado%20de%20Capitales\Proyectos%20en%20Ejecuci&#243;n\ISAGEN%20-%20Acciones\Modelos\Oficiales\8-Valoracion%20Consejo%20Ministros%2030%20oc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esp2w2/bancainversion/Documents/Gcia.%20Mercado%20de%20Capitales/Proyectos%20en%20Ejecuci&#243;n/ISAGEN%20-%20Acciones/Due%20Diligence/INFORMACION%20-%20ISAGEN/FINANCIERA/Proyecciones%2011%20enero%202006/ProyFcras_Dic23_2004_Esc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mdesp2w2/bancainversion/Documents/Gcia.%20Mercado%20de%20Capitales/Proyectos%20en%20Ejecuci&#243;n/ISAGEN%20-%20Acciones/Modelos/Proyecciones%2023%20agosto%202006/Esc4_ProyFcras_16Ago06_Esc(CxConf_PreciosMod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is%20Documentos\dugrajal\DUVAN\1.%20BIB\6.%20Herramientas\Documents%20and%20Settings\johurtado.CORFINSURAK2\Escritorio\Modelo%20PM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mbios Mar-Jul-Ago"/>
      <sheetName val="Escenarios"/>
      <sheetName val="Macroec"/>
      <sheetName val="P&amp;G&gt;&gt;"/>
      <sheetName val="Analisis vertical"/>
      <sheetName val="Analisis horizontal"/>
      <sheetName val="INGRESOS ENERGIA &gt;&gt;"/>
      <sheetName val="Generacion"/>
      <sheetName val="Precios"/>
      <sheetName val="COSTO VENTAS&gt;&gt;"/>
      <sheetName val="Cargos MEM - Aportes"/>
      <sheetName val="Grls, Personales y otros"/>
      <sheetName val="Proyecciones Gas"/>
      <sheetName val="Combustible"/>
      <sheetName val="GASTOS ADMN&gt;&gt;"/>
      <sheetName val="Pensiones"/>
      <sheetName val="Otros Ingr.Gastos"/>
      <sheetName val="Deuda"/>
      <sheetName val="ImpoRenta"/>
      <sheetName val="DeprecContable"/>
      <sheetName val="DeprecFiscal"/>
      <sheetName val="BALANCE&gt;&gt;"/>
      <sheetName val="Soporte Balance"/>
      <sheetName val="Inversion y Mmto"/>
      <sheetName val="TESORERIA"/>
      <sheetName val="FCL"/>
      <sheetName val="ImpuestosValoracion"/>
      <sheetName val="RESUMEN VALORACION&gt;&gt;"/>
      <sheetName val="g"/>
      <sheetName val="beta"/>
      <sheetName val="WACC"/>
      <sheetName val="prima"/>
      <sheetName val="Prima compañia"/>
      <sheetName val="Valoracion FCL"/>
      <sheetName val="Prospecto"/>
      <sheetName val="Road Show"/>
      <sheetName val="Valoración FlujoDiv"/>
      <sheetName val="Valoracion Multiplos&gt;&gt;"/>
      <sheetName val="CostoCapital Damodaran"/>
      <sheetName val="S&amp;P V.S. IGBC"/>
      <sheetName val="EMBI"/>
      <sheetName val="Precio accion"/>
      <sheetName val="Indicadores Balance"/>
      <sheetName val="Indicadores P&amp;G"/>
      <sheetName val="Proyecciones Gas (nuevo)"/>
      <sheetName val="Graficas Presentacion"/>
      <sheetName val="Contingencias"/>
      <sheetName val="Acciones PrivSebastian"/>
      <sheetName val="PrimaMercado"/>
      <sheetName val="Generadoras Hídricas"/>
      <sheetName val="Generadoras Térmicas"/>
      <sheetName val="Transacciones Energia Electrica"/>
      <sheetName val="Múltliplos"/>
      <sheetName val="Mult Cias Emerg DAMODARAN"/>
      <sheetName val="IPC-IPP"/>
      <sheetName val="WACC (ISAGEN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Supuestos Generales"/>
      <sheetName val="Supuestos Generación - Precios"/>
      <sheetName val="EscGen-Precios"/>
      <sheetName val="Supuestos cargos MEM - Aportes"/>
      <sheetName val="Supuestos Combustibles"/>
      <sheetName val="Modelo Proyecciones"/>
      <sheetName val="Modelo Proyecciones (Amoyá)"/>
      <sheetName val="Resumen-Energ"/>
      <sheetName val="Resumen-Energ (Amoyá)"/>
    </sheetNames>
    <sheetDataSet>
      <sheetData sheetId="0" refreshError="1"/>
      <sheetData sheetId="1" refreshError="1"/>
      <sheetData sheetId="2" refreshError="1">
        <row r="40">
          <cell r="B40">
            <v>13423</v>
          </cell>
          <cell r="C40">
            <v>13447</v>
          </cell>
          <cell r="D40">
            <v>13447</v>
          </cell>
          <cell r="E40">
            <v>13453.5</v>
          </cell>
          <cell r="F40">
            <v>13552</v>
          </cell>
          <cell r="G40">
            <v>13882</v>
          </cell>
          <cell r="H40">
            <v>14212</v>
          </cell>
          <cell r="I40">
            <v>14212</v>
          </cell>
          <cell r="J40">
            <v>14212</v>
          </cell>
          <cell r="K40">
            <v>14212</v>
          </cell>
          <cell r="L40">
            <v>14212</v>
          </cell>
          <cell r="M40">
            <v>14212</v>
          </cell>
        </row>
        <row r="180">
          <cell r="B180">
            <v>2241</v>
          </cell>
          <cell r="C180">
            <v>2265</v>
          </cell>
          <cell r="D180">
            <v>2265</v>
          </cell>
          <cell r="E180">
            <v>2271.5</v>
          </cell>
          <cell r="F180">
            <v>2370</v>
          </cell>
          <cell r="G180">
            <v>2370</v>
          </cell>
          <cell r="H180">
            <v>2370</v>
          </cell>
          <cell r="I180">
            <v>2370</v>
          </cell>
          <cell r="J180">
            <v>2370</v>
          </cell>
          <cell r="K180">
            <v>2370</v>
          </cell>
          <cell r="L180">
            <v>2370</v>
          </cell>
          <cell r="M180">
            <v>2370</v>
          </cell>
        </row>
        <row r="218">
          <cell r="B218">
            <v>7920.5621100022099</v>
          </cell>
          <cell r="C218">
            <v>7977.5090700000001</v>
          </cell>
          <cell r="D218">
            <v>7902.3887199999999</v>
          </cell>
          <cell r="E218">
            <v>8593.6005909999985</v>
          </cell>
          <cell r="F218">
            <v>9092.8063199999997</v>
          </cell>
          <cell r="G218">
            <v>9779.4384399999999</v>
          </cell>
          <cell r="H218">
            <v>9795.2497999999996</v>
          </cell>
          <cell r="I218">
            <v>9875.2988650000007</v>
          </cell>
          <cell r="J218">
            <v>10097.61637</v>
          </cell>
          <cell r="K218">
            <v>10097.61637</v>
          </cell>
          <cell r="L218">
            <v>10097.61637</v>
          </cell>
          <cell r="M218">
            <v>10097.61637</v>
          </cell>
        </row>
        <row r="250">
          <cell r="B250">
            <v>68.75166887723978</v>
          </cell>
          <cell r="C250">
            <v>74.586152994287033</v>
          </cell>
          <cell r="D250">
            <v>81.511019081090467</v>
          </cell>
          <cell r="E250">
            <v>87.223985201918879</v>
          </cell>
          <cell r="F250">
            <v>95.925527083936444</v>
          </cell>
          <cell r="G250">
            <v>96.45585233550112</v>
          </cell>
          <cell r="H250">
            <v>96.114349787974461</v>
          </cell>
          <cell r="I250">
            <v>95.798920018904255</v>
          </cell>
          <cell r="J250">
            <v>94.298274782188287</v>
          </cell>
          <cell r="K250">
            <v>91.549880556741655</v>
          </cell>
          <cell r="L250">
            <v>88.881583584955536</v>
          </cell>
          <cell r="M250">
            <v>86.916384896118103</v>
          </cell>
        </row>
        <row r="272">
          <cell r="B272">
            <v>77.257300000000001</v>
          </cell>
          <cell r="C272">
            <v>78.741000544716002</v>
          </cell>
          <cell r="D272">
            <v>76.771957361839455</v>
          </cell>
          <cell r="E272">
            <v>89.840704757976454</v>
          </cell>
          <cell r="F272">
            <v>98.803292896454536</v>
          </cell>
          <cell r="G272">
            <v>99.349527905566163</v>
          </cell>
          <cell r="H272">
            <v>98.9977802816137</v>
          </cell>
          <cell r="I272">
            <v>98.672887619471382</v>
          </cell>
          <cell r="J272">
            <v>97.127223025653933</v>
          </cell>
          <cell r="K272">
            <v>94.296376973443913</v>
          </cell>
          <cell r="L272">
            <v>91.548031092504203</v>
          </cell>
          <cell r="M272">
            <v>89.523876443001654</v>
          </cell>
        </row>
        <row r="292">
          <cell r="B292">
            <v>71.790000000000006</v>
          </cell>
          <cell r="C292">
            <v>73.787302432005518</v>
          </cell>
          <cell r="D292">
            <v>72.933359493747474</v>
          </cell>
          <cell r="E292">
            <v>80.856634282178817</v>
          </cell>
          <cell r="F292">
            <v>88.922963606809091</v>
          </cell>
          <cell r="G292">
            <v>89.414575115009555</v>
          </cell>
          <cell r="H292">
            <v>89.098002253452336</v>
          </cell>
          <cell r="I292">
            <v>88.805598857524245</v>
          </cell>
          <cell r="J292">
            <v>87.414500723088537</v>
          </cell>
          <cell r="K292">
            <v>84.866739276099523</v>
          </cell>
          <cell r="L292">
            <v>82.39322798325378</v>
          </cell>
          <cell r="M292">
            <v>80.571488798701495</v>
          </cell>
        </row>
        <row r="323">
          <cell r="B323">
            <v>72.189252321101776</v>
          </cell>
          <cell r="C323">
            <v>78.315460644001391</v>
          </cell>
          <cell r="D323">
            <v>85.586570035144987</v>
          </cell>
          <cell r="E323">
            <v>91.585184462014823</v>
          </cell>
          <cell r="F323">
            <v>100.72180343813326</v>
          </cell>
          <cell r="G323">
            <v>101.27864495227618</v>
          </cell>
          <cell r="H323">
            <v>100.92006727737319</v>
          </cell>
          <cell r="I323">
            <v>100.58886601984948</v>
          </cell>
          <cell r="J323">
            <v>99.013188521297707</v>
          </cell>
          <cell r="K323">
            <v>96.127374584578746</v>
          </cell>
          <cell r="L323">
            <v>93.325662764203315</v>
          </cell>
          <cell r="M323">
            <v>91.262204140924013</v>
          </cell>
        </row>
        <row r="324">
          <cell r="B324">
            <v>63.251535367060598</v>
          </cell>
          <cell r="C324">
            <v>68.619260754744076</v>
          </cell>
          <cell r="D324">
            <v>74.990137554603237</v>
          </cell>
          <cell r="E324">
            <v>80.246066385765374</v>
          </cell>
          <cell r="F324">
            <v>88.251484917221532</v>
          </cell>
          <cell r="G324">
            <v>88.739384148661031</v>
          </cell>
          <cell r="H324">
            <v>88.425201804936506</v>
          </cell>
          <cell r="I324">
            <v>88.135006417391921</v>
          </cell>
          <cell r="J324">
            <v>86.754412799613235</v>
          </cell>
          <cell r="K324">
            <v>84.225890112202322</v>
          </cell>
          <cell r="L324">
            <v>81.771056898159102</v>
          </cell>
          <cell r="M324">
            <v>79.963074104428657</v>
          </cell>
        </row>
        <row r="340">
          <cell r="B340">
            <v>8734.4266034676912</v>
          </cell>
          <cell r="C340">
            <v>9427.0588851075463</v>
          </cell>
          <cell r="D340">
            <v>9748.6697615792473</v>
          </cell>
          <cell r="E340">
            <v>10134.104289499888</v>
          </cell>
          <cell r="F340">
            <v>10499.185111309729</v>
          </cell>
          <cell r="G340">
            <v>10874.637547375531</v>
          </cell>
          <cell r="H340">
            <v>11261.498759122891</v>
          </cell>
          <cell r="I340">
            <v>11656.657262275021</v>
          </cell>
          <cell r="J340">
            <v>12063.224541108706</v>
          </cell>
          <cell r="K340">
            <v>12483.972296257261</v>
          </cell>
          <cell r="L340">
            <v>12919.395122143271</v>
          </cell>
          <cell r="M340">
            <v>13370.004863924582</v>
          </cell>
        </row>
        <row r="346">
          <cell r="B346">
            <v>31.910509111568839</v>
          </cell>
          <cell r="C346">
            <v>35.056223695254282</v>
          </cell>
          <cell r="D346">
            <v>35.478617330216075</v>
          </cell>
          <cell r="E346">
            <v>35.787744801967733</v>
          </cell>
          <cell r="F346">
            <v>36.101727446727217</v>
          </cell>
          <cell r="G346">
            <v>36.33873186742445</v>
          </cell>
          <cell r="H346">
            <v>36.570740673911772</v>
          </cell>
          <cell r="I346">
            <v>36.751440433530682</v>
          </cell>
          <cell r="J346">
            <v>37.068772909153786</v>
          </cell>
          <cell r="K346">
            <v>37.388845410715923</v>
          </cell>
          <cell r="L346">
            <v>37.711681597132362</v>
          </cell>
          <cell r="M346">
            <v>37.853550233382329</v>
          </cell>
        </row>
        <row r="347">
          <cell r="B347">
            <v>31.910509111568839</v>
          </cell>
          <cell r="C347">
            <v>33.708296966726465</v>
          </cell>
          <cell r="D347">
            <v>32.960820663345586</v>
          </cell>
          <cell r="E347">
            <v>32.123681556530663</v>
          </cell>
          <cell r="F347">
            <v>31.309678897135765</v>
          </cell>
          <cell r="G347">
            <v>30.449491761415942</v>
          </cell>
          <cell r="H347">
            <v>29.60763288711912</v>
          </cell>
          <cell r="I347">
            <v>28.74775576906012</v>
          </cell>
          <cell r="J347">
            <v>28.015439573283864</v>
          </cell>
          <cell r="K347">
            <v>27.301778294952442</v>
          </cell>
          <cell r="L347">
            <v>26.606296721381938</v>
          </cell>
          <cell r="M347">
            <v>25.80327313792235</v>
          </cell>
        </row>
        <row r="371">
          <cell r="B371">
            <v>1330.74</v>
          </cell>
          <cell r="C371">
            <v>1330.74</v>
          </cell>
          <cell r="D371">
            <v>1343.74</v>
          </cell>
          <cell r="E371">
            <v>1343.74</v>
          </cell>
          <cell r="F371">
            <v>1358.365</v>
          </cell>
          <cell r="G371">
            <v>1358.365</v>
          </cell>
          <cell r="H371">
            <v>1358.365</v>
          </cell>
          <cell r="I371">
            <v>1358.365</v>
          </cell>
          <cell r="J371">
            <v>1358.365</v>
          </cell>
          <cell r="K371">
            <v>1358.365</v>
          </cell>
          <cell r="L371">
            <v>1358.365</v>
          </cell>
          <cell r="M371">
            <v>1358.365</v>
          </cell>
        </row>
        <row r="395">
          <cell r="B395">
            <v>7368.0757835265094</v>
          </cell>
          <cell r="C395">
            <v>7073.0499567935312</v>
          </cell>
          <cell r="D395">
            <v>7139.8857446499815</v>
          </cell>
          <cell r="E395">
            <v>7112.5730780847416</v>
          </cell>
          <cell r="F395">
            <v>7351.8636352770272</v>
          </cell>
          <cell r="G395">
            <v>7339.3700247616844</v>
          </cell>
          <cell r="H395">
            <v>7328.2102348271837</v>
          </cell>
          <cell r="I395">
            <v>7327.5777618377906</v>
          </cell>
          <cell r="J395">
            <v>7300.1152528345865</v>
          </cell>
          <cell r="K395">
            <v>7272.755668621161</v>
          </cell>
          <cell r="L395">
            <v>7245.4986234530024</v>
          </cell>
          <cell r="M395">
            <v>7218.3437330312881</v>
          </cell>
        </row>
      </sheetData>
      <sheetData sheetId="3" refreshError="1">
        <row r="13">
          <cell r="C13">
            <v>160.2490249306322</v>
          </cell>
        </row>
      </sheetData>
      <sheetData sheetId="4" refreshError="1">
        <row r="154">
          <cell r="B154">
            <v>2.7214249464388574</v>
          </cell>
          <cell r="C154">
            <v>2.7214249464388574</v>
          </cell>
          <cell r="D154">
            <v>2.7214249464388574</v>
          </cell>
          <cell r="E154">
            <v>2.7214249464388574</v>
          </cell>
          <cell r="F154">
            <v>2.7214249464388574</v>
          </cell>
          <cell r="G154">
            <v>2.7214249464388574</v>
          </cell>
          <cell r="H154">
            <v>2.7214249464388574</v>
          </cell>
          <cell r="I154">
            <v>2.7214249464388574</v>
          </cell>
          <cell r="J154">
            <v>2.7214249464388574</v>
          </cell>
          <cell r="K154">
            <v>2.7214249464388574</v>
          </cell>
          <cell r="L154">
            <v>2.7214249464388574</v>
          </cell>
          <cell r="M154">
            <v>2.7214249464388574</v>
          </cell>
        </row>
      </sheetData>
      <sheetData sheetId="5" refreshError="1"/>
      <sheetData sheetId="6" refreshError="1">
        <row r="32">
          <cell r="B32">
            <v>1566.7416158839696</v>
          </cell>
          <cell r="C32">
            <v>2989.1659049999998</v>
          </cell>
          <cell r="D32">
            <v>2501.5665259000007</v>
          </cell>
          <cell r="E32">
            <v>3209.0894706999989</v>
          </cell>
          <cell r="F32">
            <v>3309.9388680000002</v>
          </cell>
          <cell r="G32">
            <v>3530.761004</v>
          </cell>
          <cell r="H32">
            <v>3540.9885429999995</v>
          </cell>
          <cell r="I32">
            <v>3560.1793105000002</v>
          </cell>
          <cell r="J32">
            <v>3625.8639089999988</v>
          </cell>
          <cell r="K32">
            <v>3625.8639089999988</v>
          </cell>
          <cell r="L32">
            <v>3625.8639089999988</v>
          </cell>
          <cell r="M32">
            <v>3625.8639089999988</v>
          </cell>
        </row>
        <row r="70">
          <cell r="B70">
            <v>1348.5212189686968</v>
          </cell>
          <cell r="C70">
            <v>1394.1439189999999</v>
          </cell>
          <cell r="D70">
            <v>1383.3731340000002</v>
          </cell>
          <cell r="E70">
            <v>1490.3693524999999</v>
          </cell>
          <cell r="F70">
            <v>1491.377604</v>
          </cell>
          <cell r="G70">
            <v>1574.8733159999999</v>
          </cell>
          <cell r="H70">
            <v>1581.9385829999999</v>
          </cell>
          <cell r="I70">
            <v>1585.1195375000002</v>
          </cell>
          <cell r="J70">
            <v>1606.3406349999998</v>
          </cell>
          <cell r="K70">
            <v>1606.3406349999998</v>
          </cell>
          <cell r="L70">
            <v>1606.3406349999998</v>
          </cell>
          <cell r="M70">
            <v>1606.3406349999998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Supuestos Generales"/>
      <sheetName val="Supuestos Generación - Precios"/>
      <sheetName val="EscGen-Precios"/>
      <sheetName val="Supuestos cargos MEM - Aportes"/>
      <sheetName val="Supuestos Combustibles"/>
      <sheetName val="Modelo Proyecciones"/>
      <sheetName val="Modelo Proyecciones (Amoyá)"/>
      <sheetName val="Resumen-Energ"/>
      <sheetName val="Resumen-Energ (Amoyá)"/>
      <sheetName val="Tablas para Calificadora"/>
      <sheetName val="Tablas"/>
    </sheetNames>
    <sheetDataSet>
      <sheetData sheetId="0"/>
      <sheetData sheetId="1">
        <row r="92">
          <cell r="B92">
            <v>3.3095107201759122E-2</v>
          </cell>
          <cell r="C92">
            <v>3.3095107201759122E-2</v>
          </cell>
          <cell r="D92">
            <v>3.6398467432950277E-2</v>
          </cell>
          <cell r="E92">
            <v>3.6968576709796697E-2</v>
          </cell>
          <cell r="F92">
            <v>3.5353535353535248E-2</v>
          </cell>
          <cell r="G92">
            <v>3.5485413677666111E-2</v>
          </cell>
          <cell r="H92">
            <v>3.6948087936449214E-2</v>
          </cell>
          <cell r="I92">
            <v>3.7769463744877996E-2</v>
          </cell>
          <cell r="J92">
            <v>3.7339055793991438E-2</v>
          </cell>
          <cell r="K92">
            <v>3.7339055793991438E-2</v>
          </cell>
          <cell r="L92">
            <v>3.7339055793991438E-2</v>
          </cell>
          <cell r="M92">
            <v>3.7339055793991438E-2</v>
          </cell>
        </row>
      </sheetData>
      <sheetData sheetId="2">
        <row r="468">
          <cell r="C468">
            <v>6782.2204200588712</v>
          </cell>
          <cell r="D468">
            <v>6782.2204200588712</v>
          </cell>
          <cell r="E468">
            <v>6782.2204200588712</v>
          </cell>
          <cell r="F468">
            <v>7451.9172837815331</v>
          </cell>
          <cell r="G468">
            <v>7451.9172837815331</v>
          </cell>
          <cell r="H468">
            <v>7451.9172837815331</v>
          </cell>
          <cell r="I468">
            <v>7451.9172837815331</v>
          </cell>
          <cell r="J468">
            <v>7451.9172837815331</v>
          </cell>
          <cell r="K468">
            <v>7451.9172837815331</v>
          </cell>
          <cell r="L468">
            <v>7451.9172837815331</v>
          </cell>
          <cell r="M468">
            <v>7451.9172837815331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Impresion"/>
      <sheetName val="E R y Balance Hist."/>
      <sheetName val="Supuestos"/>
      <sheetName val="Supuestos Deuda"/>
      <sheetName val="Ventas y CMV"/>
      <sheetName val="Matriz Indicadores"/>
      <sheetName val="E R Proyectado"/>
      <sheetName val="B.G. Proyectado"/>
      <sheetName val="F.Caja"/>
      <sheetName val="FCL e Indices Proy."/>
      <sheetName val="Cto de Patrimonio y Capital"/>
      <sheetName val="Valoración"/>
      <sheetName val="Múltiplos"/>
      <sheetName val="Gráficos"/>
      <sheetName val="Betas"/>
      <sheetName val="Beta"/>
      <sheetName val="Datos"/>
      <sheetName val="Modelo PMX"/>
    </sheetNames>
    <sheetDataSet>
      <sheetData sheetId="0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>
        <row r="1">
          <cell r="C1" t="str">
            <v>C.I. PROMOT. DE MANUFACT. PARA LA EXPORTACIÓN S.A  -PMX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9900"/>
  </sheetPr>
  <dimension ref="C1:K86"/>
  <sheetViews>
    <sheetView showGridLines="0" tabSelected="1" topLeftCell="C18" workbookViewId="0">
      <selection activeCell="D80" sqref="D80"/>
    </sheetView>
  </sheetViews>
  <sheetFormatPr baseColWidth="10" defaultColWidth="11.44140625" defaultRowHeight="14.4" x14ac:dyDescent="0.3"/>
  <cols>
    <col min="1" max="2" width="11.44140625" style="2"/>
    <col min="3" max="3" width="11.44140625" style="2" customWidth="1"/>
    <col min="4" max="4" width="37.88671875" style="2" bestFit="1" customWidth="1"/>
    <col min="5" max="8" width="15.109375" style="2" bestFit="1" customWidth="1"/>
    <col min="9" max="9" width="16.6640625" style="2" bestFit="1" customWidth="1"/>
    <col min="10" max="10" width="11.44140625" style="2"/>
    <col min="11" max="11" width="15.109375" style="2" bestFit="1" customWidth="1"/>
    <col min="12" max="16384" width="11.44140625" style="2"/>
  </cols>
  <sheetData>
    <row r="1" spans="3:11" ht="24" customHeight="1" thickBot="1" x14ac:dyDescent="0.35">
      <c r="D1" s="117" t="s">
        <v>67</v>
      </c>
      <c r="E1" s="118"/>
      <c r="F1" s="118"/>
      <c r="G1" s="118"/>
      <c r="H1" s="118"/>
      <c r="I1" s="118"/>
    </row>
    <row r="2" spans="3:11" x14ac:dyDescent="0.3">
      <c r="C2" s="1"/>
      <c r="D2" s="3"/>
      <c r="E2" s="4">
        <v>2018</v>
      </c>
      <c r="F2" s="4">
        <v>2019</v>
      </c>
      <c r="G2" s="4">
        <v>2020</v>
      </c>
      <c r="H2" s="4">
        <v>2021</v>
      </c>
      <c r="I2" s="4">
        <v>2022</v>
      </c>
    </row>
    <row r="3" spans="3:11" x14ac:dyDescent="0.3">
      <c r="C3" s="1"/>
      <c r="D3" s="18" t="s">
        <v>0</v>
      </c>
      <c r="E3" s="17"/>
      <c r="F3" s="17"/>
      <c r="G3" s="17"/>
      <c r="H3" s="17"/>
      <c r="I3" s="17"/>
    </row>
    <row r="4" spans="3:11" x14ac:dyDescent="0.3">
      <c r="C4" s="1"/>
      <c r="D4" s="17"/>
      <c r="E4" s="17"/>
      <c r="F4" s="17"/>
      <c r="G4" s="17"/>
      <c r="H4" s="17"/>
      <c r="I4" s="17"/>
    </row>
    <row r="5" spans="3:11" x14ac:dyDescent="0.3">
      <c r="D5" s="18" t="s">
        <v>1</v>
      </c>
      <c r="E5" s="17"/>
      <c r="F5" s="17"/>
      <c r="G5" s="17"/>
      <c r="H5" s="20"/>
      <c r="I5" s="20"/>
    </row>
    <row r="7" spans="3:11" x14ac:dyDescent="0.3">
      <c r="D7" s="26" t="s">
        <v>68</v>
      </c>
      <c r="E7" s="30">
        <v>4792805903</v>
      </c>
      <c r="F7" s="30">
        <v>1372761360</v>
      </c>
      <c r="G7" s="30">
        <v>4574073073</v>
      </c>
      <c r="H7" s="30">
        <v>14433040146</v>
      </c>
      <c r="I7" s="30">
        <v>30814623978</v>
      </c>
      <c r="K7" s="39"/>
    </row>
    <row r="8" spans="3:11" x14ac:dyDescent="0.3">
      <c r="D8" s="26" t="s">
        <v>69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</row>
    <row r="9" spans="3:11" x14ac:dyDescent="0.3">
      <c r="D9" s="27" t="s">
        <v>70</v>
      </c>
      <c r="E9" s="30">
        <v>379174228</v>
      </c>
      <c r="F9" s="30">
        <v>1455339775</v>
      </c>
      <c r="G9" s="30">
        <v>2055179584</v>
      </c>
      <c r="H9" s="30">
        <v>3027294800</v>
      </c>
      <c r="I9" s="30">
        <v>3118700936</v>
      </c>
    </row>
    <row r="10" spans="3:11" x14ac:dyDescent="0.3">
      <c r="D10" s="27" t="s">
        <v>71</v>
      </c>
      <c r="E10" s="30">
        <v>1993303662</v>
      </c>
      <c r="F10" s="30">
        <v>2133833876</v>
      </c>
      <c r="G10" s="30">
        <v>1653950385</v>
      </c>
      <c r="H10" s="30">
        <v>2184582904</v>
      </c>
      <c r="I10" s="30">
        <v>2974046718</v>
      </c>
    </row>
    <row r="11" spans="3:11" x14ac:dyDescent="0.3">
      <c r="D11" s="26" t="s">
        <v>64</v>
      </c>
      <c r="E11" s="30">
        <v>3223269423</v>
      </c>
      <c r="F11" s="30">
        <v>2411436762</v>
      </c>
      <c r="G11" s="30">
        <v>2537294323</v>
      </c>
      <c r="H11" s="30">
        <v>3187410847</v>
      </c>
      <c r="I11" s="30">
        <v>4860258858</v>
      </c>
    </row>
    <row r="12" spans="3:11" x14ac:dyDescent="0.3">
      <c r="D12" s="26" t="s">
        <v>72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</row>
    <row r="13" spans="3:11" x14ac:dyDescent="0.3">
      <c r="D13" s="27" t="s">
        <v>73</v>
      </c>
      <c r="E13" s="28">
        <v>0</v>
      </c>
      <c r="F13" s="28">
        <v>0</v>
      </c>
      <c r="G13" s="30">
        <v>17202732</v>
      </c>
      <c r="H13" s="28">
        <v>0</v>
      </c>
      <c r="I13" s="28">
        <v>0</v>
      </c>
    </row>
    <row r="14" spans="3:11" x14ac:dyDescent="0.3">
      <c r="D14" s="27" t="s">
        <v>74</v>
      </c>
      <c r="E14" s="28">
        <v>0</v>
      </c>
      <c r="F14" s="28">
        <v>0</v>
      </c>
      <c r="G14" s="30">
        <v>138997536</v>
      </c>
      <c r="H14" s="30">
        <v>127414397</v>
      </c>
      <c r="I14" s="30">
        <v>127414397</v>
      </c>
    </row>
    <row r="15" spans="3:11" x14ac:dyDescent="0.3">
      <c r="D15" s="27" t="s">
        <v>75</v>
      </c>
      <c r="E15" s="28">
        <v>0</v>
      </c>
      <c r="F15" s="28">
        <v>0</v>
      </c>
      <c r="G15" s="30">
        <v>208083333</v>
      </c>
      <c r="H15" s="30">
        <v>190743058</v>
      </c>
      <c r="I15" s="30">
        <v>190743058</v>
      </c>
    </row>
    <row r="17" spans="4:9" x14ac:dyDescent="0.3">
      <c r="D17" s="18" t="s">
        <v>2</v>
      </c>
      <c r="E17" s="43">
        <f>SUM(E7:E15)</f>
        <v>10388553216</v>
      </c>
      <c r="F17" s="5">
        <f>SUM(F7:F15)</f>
        <v>7373371773</v>
      </c>
      <c r="G17" s="5">
        <f>SUM(G7:G15)</f>
        <v>11184780966</v>
      </c>
      <c r="H17" s="5">
        <f>SUM(H7:H15)</f>
        <v>23150486152</v>
      </c>
      <c r="I17" s="5">
        <f>SUM(I7:I15)</f>
        <v>42085787945</v>
      </c>
    </row>
    <row r="18" spans="4:9" x14ac:dyDescent="0.3">
      <c r="D18" s="18"/>
      <c r="E18" s="5"/>
      <c r="F18" s="5"/>
      <c r="G18" s="5"/>
      <c r="H18" s="5"/>
      <c r="I18" s="5"/>
    </row>
    <row r="19" spans="4:9" x14ac:dyDescent="0.3">
      <c r="D19" s="18" t="s">
        <v>10</v>
      </c>
      <c r="E19" s="5"/>
      <c r="F19" s="5"/>
      <c r="G19" s="5"/>
      <c r="H19" s="5"/>
      <c r="I19" s="5"/>
    </row>
    <row r="21" spans="4:9" x14ac:dyDescent="0.3">
      <c r="D21" s="32" t="s">
        <v>76</v>
      </c>
      <c r="E21" s="33" t="s">
        <v>82</v>
      </c>
      <c r="F21" s="33" t="s">
        <v>82</v>
      </c>
      <c r="G21" s="30">
        <v>211635913</v>
      </c>
      <c r="H21" s="30">
        <v>211635913</v>
      </c>
      <c r="I21" s="30">
        <v>357007033</v>
      </c>
    </row>
    <row r="22" spans="4:9" x14ac:dyDescent="0.3">
      <c r="D22" s="32" t="s">
        <v>72</v>
      </c>
      <c r="E22" s="30"/>
      <c r="F22" s="30"/>
      <c r="G22" s="30"/>
      <c r="H22" s="30"/>
      <c r="I22" s="30"/>
    </row>
    <row r="23" spans="4:9" x14ac:dyDescent="0.3">
      <c r="D23" s="34" t="s">
        <v>74</v>
      </c>
      <c r="E23" s="41">
        <v>3787682678</v>
      </c>
      <c r="F23" s="30">
        <v>3637102014</v>
      </c>
      <c r="G23" s="30">
        <v>3338820106</v>
      </c>
      <c r="H23" s="30">
        <v>3220685322</v>
      </c>
      <c r="I23" s="30">
        <v>3081111916</v>
      </c>
    </row>
    <row r="24" spans="4:9" x14ac:dyDescent="0.3">
      <c r="D24" s="34" t="s">
        <v>77</v>
      </c>
      <c r="E24" s="30">
        <v>5719229159</v>
      </c>
      <c r="F24" s="30">
        <v>5497307246</v>
      </c>
      <c r="G24" s="30">
        <v>5046020828</v>
      </c>
      <c r="H24" s="30">
        <v>4890686688</v>
      </c>
      <c r="I24" s="30">
        <v>4678992692</v>
      </c>
    </row>
    <row r="25" spans="4:9" x14ac:dyDescent="0.3">
      <c r="D25" s="32" t="s">
        <v>64</v>
      </c>
      <c r="E25" s="30"/>
      <c r="F25" s="30"/>
      <c r="G25" s="30"/>
      <c r="H25" s="30"/>
      <c r="I25" s="30"/>
    </row>
    <row r="26" spans="4:9" x14ac:dyDescent="0.3">
      <c r="D26" s="34" t="s">
        <v>78</v>
      </c>
      <c r="E26" s="30">
        <v>4906921506</v>
      </c>
      <c r="F26" s="30">
        <v>4683131287</v>
      </c>
      <c r="G26" s="30">
        <v>4185989363</v>
      </c>
      <c r="H26" s="30">
        <v>4058391752</v>
      </c>
      <c r="I26" s="30">
        <v>3569169144</v>
      </c>
    </row>
    <row r="27" spans="4:9" ht="43.2" x14ac:dyDescent="0.3">
      <c r="D27" s="36" t="s">
        <v>79</v>
      </c>
      <c r="E27" s="42">
        <v>1943081780</v>
      </c>
      <c r="F27" s="37">
        <v>2094144086</v>
      </c>
      <c r="G27" s="30">
        <v>2410410639</v>
      </c>
      <c r="H27" s="30">
        <v>2348625709</v>
      </c>
      <c r="I27" s="38">
        <v>3500230815.6700001</v>
      </c>
    </row>
    <row r="28" spans="4:9" x14ac:dyDescent="0.3">
      <c r="D28" s="32" t="s">
        <v>80</v>
      </c>
      <c r="E28" s="30">
        <v>2182037598</v>
      </c>
      <c r="F28" s="30">
        <v>2094466866</v>
      </c>
      <c r="G28" s="30">
        <v>1973322000</v>
      </c>
      <c r="H28" s="30">
        <v>1887694832</v>
      </c>
      <c r="I28" s="30">
        <v>1861401644</v>
      </c>
    </row>
    <row r="29" spans="4:9" x14ac:dyDescent="0.3">
      <c r="D29" s="32" t="s">
        <v>81</v>
      </c>
      <c r="E29" s="30">
        <v>4853709982</v>
      </c>
      <c r="F29" s="30">
        <v>4897559982</v>
      </c>
      <c r="G29" s="30">
        <v>6115859614</v>
      </c>
      <c r="H29" s="30">
        <v>6115859614</v>
      </c>
      <c r="I29" s="30">
        <v>6115859614</v>
      </c>
    </row>
    <row r="31" spans="4:9" x14ac:dyDescent="0.3">
      <c r="D31" s="18" t="s">
        <v>4</v>
      </c>
      <c r="E31" s="5">
        <f>SUM(E21:E29)</f>
        <v>23392662703</v>
      </c>
      <c r="F31" s="5">
        <f>SUM(F21:F29)</f>
        <v>22903711481</v>
      </c>
      <c r="G31" s="5">
        <f>SUM(G21:G29)</f>
        <v>23282058463</v>
      </c>
      <c r="H31" s="5">
        <f>SUM(H21:H29)</f>
        <v>22733579830</v>
      </c>
      <c r="I31" s="5">
        <f>SUM(I21:I29)</f>
        <v>23163772858.669998</v>
      </c>
    </row>
    <row r="33" spans="4:9" x14ac:dyDescent="0.3">
      <c r="D33" s="18" t="s">
        <v>3</v>
      </c>
      <c r="E33" s="5">
        <f>+E17+E31</f>
        <v>33781215919</v>
      </c>
      <c r="F33" s="5">
        <f>+F17+F31</f>
        <v>30277083254</v>
      </c>
      <c r="G33" s="5">
        <f>+G17+G31</f>
        <v>34466839429</v>
      </c>
      <c r="H33" s="5">
        <f>+H17+H31</f>
        <v>45884065982</v>
      </c>
      <c r="I33" s="5">
        <f>+I17+I31</f>
        <v>65249560803.669998</v>
      </c>
    </row>
    <row r="34" spans="4:9" hidden="1" x14ac:dyDescent="0.3">
      <c r="D34" s="9" t="s">
        <v>5</v>
      </c>
      <c r="E34" s="10">
        <v>36190.843000000001</v>
      </c>
      <c r="F34" s="10">
        <v>177148.125</v>
      </c>
      <c r="G34" s="10">
        <v>159498.82500000001</v>
      </c>
      <c r="H34" s="10">
        <v>476985.99400000001</v>
      </c>
      <c r="I34" s="10">
        <v>882250.30500000005</v>
      </c>
    </row>
    <row r="35" spans="4:9" hidden="1" x14ac:dyDescent="0.3">
      <c r="D35" s="9" t="s">
        <v>6</v>
      </c>
      <c r="E35" s="10">
        <v>0</v>
      </c>
      <c r="F35" s="10">
        <v>0</v>
      </c>
      <c r="G35" s="10">
        <v>219793.37299999999</v>
      </c>
      <c r="H35" s="10">
        <v>120905.719</v>
      </c>
      <c r="I35" s="10">
        <v>186581.10200000001</v>
      </c>
    </row>
    <row r="36" spans="4:9" hidden="1" x14ac:dyDescent="0.3"/>
    <row r="37" spans="4:9" hidden="1" x14ac:dyDescent="0.3">
      <c r="D37" s="18" t="s">
        <v>7</v>
      </c>
      <c r="E37" s="5">
        <f>SUM(E34:E35)</f>
        <v>36190.843000000001</v>
      </c>
      <c r="F37" s="5">
        <f t="shared" ref="F37:I37" si="0">SUM(F34:F35)</f>
        <v>177148.125</v>
      </c>
      <c r="G37" s="5">
        <f t="shared" si="0"/>
        <v>379292.19799999997</v>
      </c>
      <c r="H37" s="5">
        <f t="shared" si="0"/>
        <v>597891.71299999999</v>
      </c>
      <c r="I37" s="5">
        <f t="shared" si="0"/>
        <v>1068831.4070000001</v>
      </c>
    </row>
    <row r="39" spans="4:9" x14ac:dyDescent="0.3">
      <c r="D39" s="18" t="s">
        <v>8</v>
      </c>
    </row>
    <row r="41" spans="4:9" x14ac:dyDescent="0.3">
      <c r="D41" s="18" t="s">
        <v>9</v>
      </c>
    </row>
    <row r="43" spans="4:9" x14ac:dyDescent="0.3">
      <c r="D43" s="34" t="s">
        <v>83</v>
      </c>
      <c r="E43" s="30"/>
      <c r="F43" s="30"/>
      <c r="G43" s="35"/>
      <c r="H43" s="35"/>
      <c r="I43" s="35"/>
    </row>
    <row r="44" spans="4:9" x14ac:dyDescent="0.3">
      <c r="D44" s="34" t="s">
        <v>11</v>
      </c>
      <c r="E44" s="30"/>
      <c r="F44" s="30"/>
      <c r="G44" s="35"/>
      <c r="H44" s="35"/>
      <c r="I44" s="30">
        <v>52632851</v>
      </c>
    </row>
    <row r="45" spans="4:9" x14ac:dyDescent="0.3">
      <c r="D45" s="34" t="s">
        <v>26</v>
      </c>
      <c r="E45" s="30">
        <v>238457956</v>
      </c>
      <c r="F45" s="30">
        <v>92888477</v>
      </c>
      <c r="G45" s="30">
        <v>746548215</v>
      </c>
      <c r="H45" s="30">
        <v>188104251</v>
      </c>
      <c r="I45" s="30">
        <v>198282132</v>
      </c>
    </row>
    <row r="46" spans="4:9" x14ac:dyDescent="0.3">
      <c r="D46" s="34" t="s">
        <v>84</v>
      </c>
      <c r="E46" s="30">
        <v>951685614</v>
      </c>
      <c r="F46" s="30">
        <v>325146018</v>
      </c>
      <c r="G46" s="30">
        <v>605133502</v>
      </c>
      <c r="H46" s="30">
        <v>456749193.5</v>
      </c>
      <c r="I46" s="30">
        <v>8616525000</v>
      </c>
    </row>
    <row r="47" spans="4:9" x14ac:dyDescent="0.3">
      <c r="D47" s="34" t="s">
        <v>85</v>
      </c>
      <c r="E47" s="30">
        <v>363598132</v>
      </c>
      <c r="F47" s="30">
        <v>214723826</v>
      </c>
      <c r="G47" s="30">
        <v>893502240</v>
      </c>
      <c r="H47" s="30">
        <v>4714159923.3900003</v>
      </c>
      <c r="I47" s="30">
        <v>2122616234</v>
      </c>
    </row>
    <row r="48" spans="4:9" x14ac:dyDescent="0.3">
      <c r="D48" s="34" t="s">
        <v>86</v>
      </c>
      <c r="E48" s="30">
        <v>-64929015</v>
      </c>
      <c r="F48" s="30">
        <v>-40786134</v>
      </c>
      <c r="G48" s="30">
        <v>238156725</v>
      </c>
      <c r="H48" s="30">
        <v>-144449333</v>
      </c>
      <c r="I48" s="30">
        <v>-228645825</v>
      </c>
    </row>
    <row r="49" spans="4:9" x14ac:dyDescent="0.3">
      <c r="D49" s="34" t="s">
        <v>87</v>
      </c>
      <c r="E49" s="30">
        <v>174225710</v>
      </c>
      <c r="F49" s="30">
        <v>121461860</v>
      </c>
      <c r="G49" s="30">
        <v>210023191</v>
      </c>
      <c r="H49" s="30">
        <v>329668717</v>
      </c>
      <c r="I49" s="30">
        <v>518451268</v>
      </c>
    </row>
    <row r="51" spans="4:9" x14ac:dyDescent="0.3">
      <c r="D51" s="18" t="s">
        <v>12</v>
      </c>
      <c r="E51" s="5">
        <f>SUM(E43:E49)</f>
        <v>1663038397</v>
      </c>
      <c r="F51" s="5">
        <f>SUM(F43:F49)</f>
        <v>713434047</v>
      </c>
      <c r="G51" s="5">
        <f>SUM(G43:G49)</f>
        <v>2693363873</v>
      </c>
      <c r="H51" s="5">
        <f>SUM(H43:H49)</f>
        <v>5544232751.8900003</v>
      </c>
      <c r="I51" s="5">
        <f>SUM(I43:I49)</f>
        <v>11279861660</v>
      </c>
    </row>
    <row r="53" spans="4:9" x14ac:dyDescent="0.3">
      <c r="D53" s="18" t="s">
        <v>13</v>
      </c>
    </row>
    <row r="55" spans="4:9" x14ac:dyDescent="0.3">
      <c r="D55" s="34" t="s">
        <v>88</v>
      </c>
      <c r="E55" s="30"/>
      <c r="F55" s="30"/>
      <c r="G55" s="35"/>
      <c r="H55" s="35"/>
      <c r="I55" s="35"/>
    </row>
    <row r="56" spans="4:9" x14ac:dyDescent="0.3">
      <c r="D56" s="34" t="s">
        <v>89</v>
      </c>
      <c r="E56" s="30"/>
      <c r="F56" s="30"/>
      <c r="G56" s="35"/>
      <c r="H56" s="35"/>
      <c r="I56" s="35"/>
    </row>
    <row r="57" spans="4:9" x14ac:dyDescent="0.3">
      <c r="D57" s="34" t="s">
        <v>90</v>
      </c>
      <c r="E57" s="30"/>
      <c r="F57" s="30"/>
      <c r="G57" s="35"/>
      <c r="H57" s="35"/>
      <c r="I57" s="30">
        <v>5928263260</v>
      </c>
    </row>
    <row r="58" spans="4:9" x14ac:dyDescent="0.3">
      <c r="D58" s="34" t="s">
        <v>91</v>
      </c>
      <c r="E58" s="30"/>
      <c r="F58" s="30"/>
      <c r="G58" s="35"/>
      <c r="H58" s="35"/>
      <c r="I58" s="30"/>
    </row>
    <row r="59" spans="4:9" x14ac:dyDescent="0.3">
      <c r="D59" s="34" t="s">
        <v>92</v>
      </c>
      <c r="E59" s="30">
        <v>101792099</v>
      </c>
      <c r="F59" s="30">
        <v>502335266</v>
      </c>
      <c r="G59" s="30">
        <v>638459889</v>
      </c>
      <c r="H59" s="30">
        <v>638459889</v>
      </c>
      <c r="I59" s="30">
        <v>618023678</v>
      </c>
    </row>
    <row r="61" spans="4:9" x14ac:dyDescent="0.3">
      <c r="D61" s="18" t="s">
        <v>14</v>
      </c>
      <c r="E61" s="5">
        <f>SUM(E55:E59)</f>
        <v>101792099</v>
      </c>
      <c r="F61" s="5">
        <f>SUM(F55:F59)</f>
        <v>502335266</v>
      </c>
      <c r="G61" s="5">
        <f>SUM(G55:G59)</f>
        <v>638459889</v>
      </c>
      <c r="H61" s="5">
        <f>SUM(H55:H59)</f>
        <v>638459889</v>
      </c>
      <c r="I61" s="5">
        <f>SUM(I55:I59)</f>
        <v>6546286938</v>
      </c>
    </row>
    <row r="63" spans="4:9" x14ac:dyDescent="0.3">
      <c r="D63" s="18" t="s">
        <v>15</v>
      </c>
      <c r="E63" s="5">
        <f>+E51+E61</f>
        <v>1764830496</v>
      </c>
      <c r="F63" s="5">
        <f>+F51+F61</f>
        <v>1215769313</v>
      </c>
      <c r="G63" s="5">
        <f>+G51+G61</f>
        <v>3331823762</v>
      </c>
      <c r="H63" s="5">
        <f>+H51+H61</f>
        <v>6182692640.8900003</v>
      </c>
      <c r="I63" s="5">
        <f>+I51+I61</f>
        <v>17826148598</v>
      </c>
    </row>
    <row r="65" spans="4:9" x14ac:dyDescent="0.3">
      <c r="D65" s="18" t="s">
        <v>18</v>
      </c>
    </row>
    <row r="67" spans="4:9" x14ac:dyDescent="0.3">
      <c r="D67" s="44" t="s">
        <v>17</v>
      </c>
      <c r="E67" s="45">
        <v>25394200000</v>
      </c>
      <c r="F67" s="45">
        <v>25394200000</v>
      </c>
      <c r="G67" s="45">
        <v>25394200000</v>
      </c>
      <c r="H67" s="45">
        <v>25394200000</v>
      </c>
      <c r="I67" s="45">
        <v>25394200000</v>
      </c>
    </row>
    <row r="68" spans="4:9" x14ac:dyDescent="0.3">
      <c r="D68" s="44" t="s">
        <v>93</v>
      </c>
      <c r="E68" s="45"/>
      <c r="F68" s="45">
        <v>-342920494</v>
      </c>
      <c r="G68" s="45">
        <v>-654679058</v>
      </c>
      <c r="H68" s="45">
        <v>74139111</v>
      </c>
      <c r="I68" s="45">
        <v>389965799</v>
      </c>
    </row>
    <row r="69" spans="4:9" x14ac:dyDescent="0.3">
      <c r="D69" s="44" t="s">
        <v>94</v>
      </c>
      <c r="E69" s="45"/>
      <c r="F69" s="45"/>
      <c r="G69" s="45"/>
      <c r="H69" s="45">
        <v>12572940</v>
      </c>
      <c r="I69" s="45">
        <v>0</v>
      </c>
    </row>
    <row r="70" spans="4:9" x14ac:dyDescent="0.3">
      <c r="D70" s="44" t="s">
        <v>95</v>
      </c>
      <c r="E70" s="45">
        <f>3490502066-1722026625</f>
        <v>1768475441</v>
      </c>
      <c r="F70" s="45">
        <v>-397769547</v>
      </c>
      <c r="G70" s="45">
        <v>1987690741</v>
      </c>
      <c r="H70" s="45">
        <v>8076601677</v>
      </c>
      <c r="I70" s="45">
        <v>15495386792</v>
      </c>
    </row>
    <row r="71" spans="4:9" x14ac:dyDescent="0.3">
      <c r="D71" s="44" t="s">
        <v>96</v>
      </c>
      <c r="E71" s="45">
        <v>4853709982</v>
      </c>
      <c r="F71" s="45">
        <v>4407803984</v>
      </c>
      <c r="G71" s="45">
        <v>4407803984</v>
      </c>
      <c r="H71" s="45">
        <v>6143859614</v>
      </c>
      <c r="I71" s="45">
        <v>6143859614</v>
      </c>
    </row>
    <row r="73" spans="4:9" x14ac:dyDescent="0.3">
      <c r="D73" s="18" t="s">
        <v>16</v>
      </c>
      <c r="E73" s="5">
        <f>SUM(E67:E71)</f>
        <v>32016385423</v>
      </c>
      <c r="F73" s="5">
        <f>SUM(F67:F71)</f>
        <v>29061313943</v>
      </c>
      <c r="G73" s="5">
        <f>SUM(G67:G71)</f>
        <v>31135015667</v>
      </c>
      <c r="H73" s="5">
        <f>SUM(H67:H71)</f>
        <v>39701373342</v>
      </c>
      <c r="I73" s="5">
        <f>SUM(I67:I71)</f>
        <v>47423412205</v>
      </c>
    </row>
    <row r="75" spans="4:9" x14ac:dyDescent="0.3">
      <c r="D75" s="29" t="s">
        <v>17</v>
      </c>
      <c r="E75" s="28">
        <f>(+E73)</f>
        <v>32016385423</v>
      </c>
      <c r="F75" s="28">
        <f t="shared" ref="F75:I75" si="1">(+F73)</f>
        <v>29061313943</v>
      </c>
      <c r="G75" s="28">
        <f t="shared" si="1"/>
        <v>31135015667</v>
      </c>
      <c r="H75" s="28">
        <f t="shared" si="1"/>
        <v>39701373342</v>
      </c>
      <c r="I75" s="28">
        <f t="shared" si="1"/>
        <v>47423412205</v>
      </c>
    </row>
    <row r="77" spans="4:9" x14ac:dyDescent="0.3">
      <c r="D77" s="18" t="s">
        <v>19</v>
      </c>
      <c r="E77" s="5">
        <f>SUM(E75:E75)</f>
        <v>32016385423</v>
      </c>
      <c r="F77" s="5">
        <f>SUM(F75:F75)</f>
        <v>29061313943</v>
      </c>
      <c r="G77" s="5">
        <f>SUM(G75:G75)</f>
        <v>31135015667</v>
      </c>
      <c r="H77" s="5">
        <f>SUM(H75:H75)</f>
        <v>39701373342</v>
      </c>
      <c r="I77" s="5">
        <f>SUM(I75:I75)</f>
        <v>47423412205</v>
      </c>
    </row>
    <row r="79" spans="4:9" x14ac:dyDescent="0.3">
      <c r="D79" s="18" t="s">
        <v>20</v>
      </c>
      <c r="E79" s="46">
        <f>+E63+E77</f>
        <v>33781215919</v>
      </c>
      <c r="F79" s="46">
        <f>+F63+F77</f>
        <v>30277083256</v>
      </c>
      <c r="G79" s="46">
        <f>+G63+G77</f>
        <v>34466839429</v>
      </c>
      <c r="H79" s="46">
        <f>+H63+H77</f>
        <v>45884065982.889999</v>
      </c>
      <c r="I79" s="46">
        <f>+I63+I77</f>
        <v>65249560803</v>
      </c>
    </row>
    <row r="80" spans="4:9" x14ac:dyDescent="0.3">
      <c r="E80" s="6"/>
      <c r="F80" s="6"/>
      <c r="G80" s="6"/>
      <c r="H80" s="6"/>
      <c r="I80" s="6"/>
    </row>
    <row r="81" spans="4:9" x14ac:dyDescent="0.3">
      <c r="D81" s="29" t="s">
        <v>21</v>
      </c>
      <c r="E81" s="28">
        <v>36190.843000000001</v>
      </c>
      <c r="F81" s="28">
        <v>177148.125</v>
      </c>
      <c r="G81" s="28">
        <v>159498.04699999999</v>
      </c>
      <c r="H81" s="28">
        <v>120905.719</v>
      </c>
      <c r="I81" s="28">
        <v>186581.10200000001</v>
      </c>
    </row>
    <row r="82" spans="4:9" x14ac:dyDescent="0.3">
      <c r="D82" s="29" t="s">
        <v>22</v>
      </c>
      <c r="E82" s="28">
        <v>0</v>
      </c>
      <c r="F82" s="28">
        <v>0</v>
      </c>
      <c r="G82" s="28">
        <v>219793.37299999999</v>
      </c>
      <c r="H82" s="28">
        <v>476985.99400000001</v>
      </c>
      <c r="I82" s="28">
        <v>882250.30500000005</v>
      </c>
    </row>
    <row r="84" spans="4:9" x14ac:dyDescent="0.3">
      <c r="D84" s="18" t="s">
        <v>7</v>
      </c>
      <c r="E84" s="5">
        <f>SUM(E81:E82)</f>
        <v>36190.843000000001</v>
      </c>
      <c r="F84" s="5">
        <f t="shared" ref="F84:I84" si="2">SUM(F81:F82)</f>
        <v>177148.125</v>
      </c>
      <c r="G84" s="5">
        <f t="shared" si="2"/>
        <v>379291.42</v>
      </c>
      <c r="H84" s="5">
        <f t="shared" si="2"/>
        <v>597891.71299999999</v>
      </c>
      <c r="I84" s="5">
        <f t="shared" si="2"/>
        <v>1068831.4070000001</v>
      </c>
    </row>
    <row r="86" spans="4:9" s="21" customFormat="1" x14ac:dyDescent="0.3">
      <c r="D86" s="21" t="s">
        <v>27</v>
      </c>
      <c r="E86" s="22">
        <f>+E33-E79</f>
        <v>0</v>
      </c>
      <c r="F86" s="22">
        <f>+F33-F79</f>
        <v>-2</v>
      </c>
      <c r="G86" s="22">
        <f>+G33-G79</f>
        <v>0</v>
      </c>
      <c r="H86" s="22">
        <f>+H33-H79</f>
        <v>-0.8899993896484375</v>
      </c>
      <c r="I86" s="22">
        <f>+I33-I79</f>
        <v>0.6699981689453125</v>
      </c>
    </row>
  </sheetData>
  <mergeCells count="1">
    <mergeCell ref="D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9900"/>
  </sheetPr>
  <dimension ref="C1:I94"/>
  <sheetViews>
    <sheetView showGridLines="0" topLeftCell="C1" workbookViewId="0">
      <selection activeCell="G13" sqref="G13"/>
    </sheetView>
  </sheetViews>
  <sheetFormatPr baseColWidth="10" defaultColWidth="11.44140625" defaultRowHeight="15" x14ac:dyDescent="0.3"/>
  <cols>
    <col min="1" max="1" width="11.44140625" style="2"/>
    <col min="2" max="3" width="11.44140625" style="2" customWidth="1"/>
    <col min="4" max="4" width="38" style="59" customWidth="1"/>
    <col min="5" max="6" width="18.5546875" style="59" bestFit="1" customWidth="1"/>
    <col min="7" max="7" width="21" style="59" bestFit="1" customWidth="1"/>
    <col min="8" max="9" width="19.109375" style="59" bestFit="1" customWidth="1"/>
    <col min="10" max="16384" width="11.44140625" style="2"/>
  </cols>
  <sheetData>
    <row r="1" spans="3:9" ht="24" customHeight="1" thickBot="1" x14ac:dyDescent="0.35">
      <c r="D1" s="119" t="s">
        <v>65</v>
      </c>
      <c r="E1" s="120"/>
      <c r="F1" s="120"/>
      <c r="G1" s="120"/>
      <c r="H1" s="120"/>
      <c r="I1" s="120"/>
    </row>
    <row r="2" spans="3:9" ht="15.6" x14ac:dyDescent="0.3">
      <c r="C2" s="1"/>
      <c r="D2" s="53"/>
      <c r="E2" s="54">
        <v>2018</v>
      </c>
      <c r="F2" s="54">
        <v>2019</v>
      </c>
      <c r="G2" s="54">
        <v>2020</v>
      </c>
      <c r="H2" s="54">
        <v>2021</v>
      </c>
      <c r="I2" s="54">
        <v>2022</v>
      </c>
    </row>
    <row r="3" spans="3:9" x14ac:dyDescent="0.3">
      <c r="C3" s="1"/>
      <c r="D3" s="53"/>
      <c r="E3" s="53"/>
      <c r="F3" s="53"/>
      <c r="G3" s="53"/>
      <c r="H3" s="53"/>
      <c r="I3" s="53"/>
    </row>
    <row r="4" spans="3:9" ht="15.6" x14ac:dyDescent="0.3">
      <c r="C4" s="1"/>
      <c r="D4" s="55" t="s">
        <v>23</v>
      </c>
      <c r="E4" s="53"/>
      <c r="F4" s="53"/>
      <c r="G4" s="53"/>
      <c r="H4" s="53"/>
      <c r="I4" s="53"/>
    </row>
    <row r="5" spans="3:9" x14ac:dyDescent="0.25">
      <c r="C5" s="1"/>
      <c r="D5" s="56" t="s">
        <v>97</v>
      </c>
      <c r="E5" s="57">
        <v>7409580202</v>
      </c>
      <c r="F5" s="57">
        <v>5539896482</v>
      </c>
      <c r="G5" s="57">
        <v>9802430624</v>
      </c>
      <c r="H5" s="57">
        <v>17704125116</v>
      </c>
      <c r="I5" s="57">
        <v>38854070904</v>
      </c>
    </row>
    <row r="6" spans="3:9" x14ac:dyDescent="0.25">
      <c r="C6" s="1"/>
      <c r="D6" s="56" t="s">
        <v>98</v>
      </c>
      <c r="E6" s="57">
        <v>2552771793</v>
      </c>
      <c r="F6" s="57">
        <v>3189690883</v>
      </c>
      <c r="G6" s="57">
        <v>5560880336</v>
      </c>
      <c r="H6" s="57">
        <v>6105213138</v>
      </c>
      <c r="I6" s="57">
        <v>17881766255</v>
      </c>
    </row>
    <row r="7" spans="3:9" ht="15.6" x14ac:dyDescent="0.3">
      <c r="D7" s="55" t="s">
        <v>24</v>
      </c>
      <c r="E7" s="58">
        <f>+E5-E6</f>
        <v>4856808409</v>
      </c>
      <c r="F7" s="58">
        <f t="shared" ref="F7:I7" si="0">+F5-F6</f>
        <v>2350205599</v>
      </c>
      <c r="G7" s="58">
        <f t="shared" si="0"/>
        <v>4241550288</v>
      </c>
      <c r="H7" s="58">
        <f t="shared" si="0"/>
        <v>11598911978</v>
      </c>
      <c r="I7" s="58">
        <f t="shared" si="0"/>
        <v>20972304649</v>
      </c>
    </row>
    <row r="8" spans="3:9" ht="15.6" x14ac:dyDescent="0.3">
      <c r="D8" s="55"/>
      <c r="E8" s="58"/>
      <c r="F8" s="58"/>
      <c r="G8" s="58"/>
      <c r="H8" s="58"/>
      <c r="I8" s="58"/>
    </row>
    <row r="9" spans="3:9" ht="15.6" x14ac:dyDescent="0.3">
      <c r="D9" s="55"/>
    </row>
    <row r="10" spans="3:9" x14ac:dyDescent="0.25">
      <c r="D10" s="56" t="s">
        <v>99</v>
      </c>
      <c r="E10" s="57" t="s">
        <v>106</v>
      </c>
      <c r="F10" s="57" t="s">
        <v>106</v>
      </c>
      <c r="G10" s="57" t="s">
        <v>106</v>
      </c>
      <c r="H10" s="57" t="s">
        <v>106</v>
      </c>
      <c r="I10" s="57" t="s">
        <v>106</v>
      </c>
    </row>
    <row r="11" spans="3:9" x14ac:dyDescent="0.25">
      <c r="D11" s="60" t="s">
        <v>100</v>
      </c>
      <c r="E11" s="57">
        <v>1609713556</v>
      </c>
      <c r="F11" s="57">
        <v>1953622417</v>
      </c>
      <c r="G11" s="57">
        <v>2099451255</v>
      </c>
      <c r="H11" s="57">
        <v>2318864150</v>
      </c>
      <c r="I11" s="57">
        <v>3657458411</v>
      </c>
    </row>
    <row r="12" spans="3:9" x14ac:dyDescent="0.25">
      <c r="D12" s="60" t="s">
        <v>101</v>
      </c>
      <c r="E12" s="57">
        <v>891058725</v>
      </c>
      <c r="F12" s="57">
        <v>657951427</v>
      </c>
      <c r="G12" s="57">
        <v>842826305</v>
      </c>
      <c r="H12" s="57">
        <v>1179664659</v>
      </c>
      <c r="I12" s="57">
        <v>3821216100</v>
      </c>
    </row>
    <row r="13" spans="3:9" x14ac:dyDescent="0.25">
      <c r="D13" s="56"/>
      <c r="E13" s="61"/>
      <c r="F13" s="61"/>
      <c r="G13" s="56"/>
      <c r="H13" s="56"/>
      <c r="I13" s="56"/>
    </row>
    <row r="14" spans="3:9" ht="15.6" x14ac:dyDescent="0.25">
      <c r="D14" s="55"/>
      <c r="E14" s="57">
        <f>SUM(E11:E13)</f>
        <v>2500772281</v>
      </c>
      <c r="F14" s="57">
        <f t="shared" ref="F14:I14" si="1">SUM(F11:F13)</f>
        <v>2611573844</v>
      </c>
      <c r="G14" s="57">
        <f t="shared" si="1"/>
        <v>2942277560</v>
      </c>
      <c r="H14" s="57">
        <f t="shared" si="1"/>
        <v>3498528809</v>
      </c>
      <c r="I14" s="57">
        <f t="shared" si="1"/>
        <v>7478674511</v>
      </c>
    </row>
    <row r="15" spans="3:9" ht="15.6" x14ac:dyDescent="0.3">
      <c r="D15" s="55"/>
      <c r="E15" s="58"/>
      <c r="F15" s="58"/>
      <c r="G15" s="58"/>
      <c r="H15" s="58"/>
      <c r="I15" s="58"/>
    </row>
    <row r="16" spans="3:9" ht="15.6" x14ac:dyDescent="0.3">
      <c r="D16" s="62" t="s">
        <v>107</v>
      </c>
      <c r="E16" s="58">
        <f>E7-E14</f>
        <v>2356036128</v>
      </c>
      <c r="F16" s="58">
        <f t="shared" ref="F16:I16" si="2">F7-F14</f>
        <v>-261368245</v>
      </c>
      <c r="G16" s="58">
        <f t="shared" si="2"/>
        <v>1299272728</v>
      </c>
      <c r="H16" s="58">
        <f t="shared" si="2"/>
        <v>8100383169</v>
      </c>
      <c r="I16" s="58">
        <f t="shared" si="2"/>
        <v>13493630138</v>
      </c>
    </row>
    <row r="17" spans="4:9" x14ac:dyDescent="0.3">
      <c r="E17" s="63"/>
      <c r="F17" s="63"/>
      <c r="G17" s="63"/>
      <c r="H17" s="63"/>
      <c r="I17" s="63"/>
    </row>
    <row r="18" spans="4:9" ht="15.6" x14ac:dyDescent="0.3">
      <c r="D18" s="55"/>
      <c r="E18" s="58"/>
      <c r="F18" s="58"/>
      <c r="G18" s="58"/>
      <c r="H18" s="58"/>
      <c r="I18" s="58"/>
    </row>
    <row r="19" spans="4:9" x14ac:dyDescent="0.25">
      <c r="D19" s="56" t="s">
        <v>108</v>
      </c>
      <c r="E19" s="57">
        <v>1367950415</v>
      </c>
      <c r="F19" s="57">
        <v>79825740</v>
      </c>
      <c r="G19" s="57">
        <v>73090169</v>
      </c>
      <c r="H19" s="57">
        <v>1511997192</v>
      </c>
      <c r="I19" s="57">
        <v>5724045071</v>
      </c>
    </row>
    <row r="20" spans="4:9" x14ac:dyDescent="0.25">
      <c r="D20" s="56" t="s">
        <v>109</v>
      </c>
      <c r="E20" s="57">
        <v>-1135946454</v>
      </c>
      <c r="F20" s="57">
        <v>1433880181</v>
      </c>
      <c r="G20" s="57">
        <v>815059635</v>
      </c>
      <c r="H20" s="57">
        <v>-1535778683</v>
      </c>
      <c r="I20" s="57"/>
    </row>
    <row r="21" spans="4:9" x14ac:dyDescent="0.25">
      <c r="D21" s="56"/>
      <c r="E21" s="57"/>
      <c r="F21" s="57">
        <v>157357563</v>
      </c>
      <c r="G21" s="64" t="s">
        <v>82</v>
      </c>
      <c r="H21" s="65"/>
      <c r="I21" s="57"/>
    </row>
    <row r="22" spans="4:9" x14ac:dyDescent="0.25">
      <c r="D22" s="56" t="s">
        <v>109</v>
      </c>
      <c r="E22" s="57"/>
      <c r="F22" s="57">
        <v>-219724213</v>
      </c>
      <c r="G22" s="57">
        <v>-291418369</v>
      </c>
      <c r="H22" s="65"/>
      <c r="I22" s="57">
        <v>-3722288416</v>
      </c>
    </row>
    <row r="23" spans="4:9" x14ac:dyDescent="0.25">
      <c r="D23" s="56" t="s">
        <v>110</v>
      </c>
      <c r="E23" s="57"/>
      <c r="F23" s="57">
        <v>-1377435638</v>
      </c>
      <c r="G23" s="57">
        <v>-830926978</v>
      </c>
      <c r="H23" s="65"/>
      <c r="I23" s="57"/>
    </row>
    <row r="24" spans="4:9" ht="15.6" x14ac:dyDescent="0.3">
      <c r="D24" s="66" t="s">
        <v>25</v>
      </c>
      <c r="E24" s="67">
        <f>SUM(E19:E20)</f>
        <v>232003961</v>
      </c>
      <c r="F24" s="67">
        <f>SUM(F19:F23)</f>
        <v>73903633</v>
      </c>
      <c r="G24" s="67">
        <f>SUM(G19:G23)</f>
        <v>-234195543</v>
      </c>
      <c r="H24" s="67">
        <f t="shared" ref="H24:I24" si="3">SUM(H19:H23)</f>
        <v>-23781491</v>
      </c>
      <c r="I24" s="67">
        <f t="shared" si="3"/>
        <v>2001756655</v>
      </c>
    </row>
    <row r="25" spans="4:9" ht="15.6" x14ac:dyDescent="0.3">
      <c r="D25" s="55"/>
      <c r="E25" s="68"/>
      <c r="F25" s="68"/>
      <c r="G25" s="68"/>
      <c r="H25" s="68"/>
      <c r="I25" s="68"/>
    </row>
    <row r="26" spans="4:9" ht="31.2" x14ac:dyDescent="0.3">
      <c r="D26" s="69" t="s">
        <v>111</v>
      </c>
      <c r="E26" s="68">
        <f>E16+E19+E20</f>
        <v>2588040089</v>
      </c>
      <c r="F26" s="68">
        <f>F16+F19+F20+F21+F22+F23</f>
        <v>-187464612</v>
      </c>
      <c r="G26" s="68">
        <f>G16+G19+G20+G22+G23</f>
        <v>1065077185</v>
      </c>
      <c r="H26" s="68">
        <f>H16+H19+H20</f>
        <v>8076601678</v>
      </c>
      <c r="I26" s="68">
        <f>I16+I19+I22</f>
        <v>15495386793</v>
      </c>
    </row>
    <row r="27" spans="4:9" ht="15.6" x14ac:dyDescent="0.3">
      <c r="D27" s="70"/>
      <c r="E27" s="68"/>
      <c r="F27" s="68"/>
      <c r="G27" s="68"/>
      <c r="H27" s="68"/>
      <c r="I27" s="68"/>
    </row>
    <row r="28" spans="4:9" ht="18" customHeight="1" x14ac:dyDescent="0.25">
      <c r="D28" s="56" t="s">
        <v>112</v>
      </c>
      <c r="E28" s="71" t="s">
        <v>82</v>
      </c>
      <c r="F28" s="71" t="s">
        <v>82</v>
      </c>
      <c r="G28" s="65"/>
      <c r="H28" s="72"/>
      <c r="I28" s="72"/>
    </row>
    <row r="29" spans="4:9" ht="18" customHeight="1" x14ac:dyDescent="0.25">
      <c r="D29" s="56" t="s">
        <v>113</v>
      </c>
      <c r="E29" s="71" t="s">
        <v>82</v>
      </c>
      <c r="F29" s="71">
        <v>124294000</v>
      </c>
      <c r="G29" s="57">
        <v>237998000</v>
      </c>
      <c r="H29" s="72"/>
      <c r="I29" s="72"/>
    </row>
    <row r="30" spans="4:9" ht="18" customHeight="1" x14ac:dyDescent="0.25">
      <c r="D30" s="56" t="s">
        <v>114</v>
      </c>
      <c r="E30" s="71" t="s">
        <v>82</v>
      </c>
      <c r="F30" s="71" t="s">
        <v>82</v>
      </c>
      <c r="G30" s="57">
        <v>85688077</v>
      </c>
      <c r="H30" s="72"/>
      <c r="I30" s="72"/>
    </row>
    <row r="31" spans="4:9" ht="18" customHeight="1" x14ac:dyDescent="0.25">
      <c r="D31" s="56" t="s">
        <v>115</v>
      </c>
      <c r="E31" s="57"/>
      <c r="F31" s="57"/>
      <c r="G31" s="57">
        <f t="shared" ref="G31" si="4">SUM(G29:G30)</f>
        <v>323686077</v>
      </c>
      <c r="H31" s="72"/>
      <c r="I31" s="72"/>
    </row>
    <row r="32" spans="4:9" ht="15.6" x14ac:dyDescent="0.3">
      <c r="D32" s="62" t="s">
        <v>116</v>
      </c>
      <c r="E32" s="68">
        <f>E26</f>
        <v>2588040089</v>
      </c>
      <c r="F32" s="68">
        <f>F26-F29</f>
        <v>-311758612</v>
      </c>
      <c r="G32" s="68">
        <f>G26-G31</f>
        <v>741391108</v>
      </c>
      <c r="H32" s="68">
        <f>H26</f>
        <v>8076601678</v>
      </c>
      <c r="I32" s="68">
        <f>I26</f>
        <v>15495386793</v>
      </c>
    </row>
    <row r="33" spans="4:9" x14ac:dyDescent="0.3">
      <c r="E33" s="63"/>
      <c r="F33" s="63"/>
      <c r="G33" s="63"/>
      <c r="H33" s="63"/>
      <c r="I33" s="63"/>
    </row>
    <row r="34" spans="4:9" x14ac:dyDescent="0.25">
      <c r="D34" s="56" t="s">
        <v>117</v>
      </c>
      <c r="E34" s="71" t="s">
        <v>82</v>
      </c>
      <c r="F34" s="71" t="s">
        <v>82</v>
      </c>
      <c r="G34" s="73">
        <v>1246299632</v>
      </c>
      <c r="H34" s="65"/>
      <c r="I34" s="65"/>
    </row>
    <row r="35" spans="4:9" x14ac:dyDescent="0.3">
      <c r="E35" s="63"/>
      <c r="F35" s="63"/>
      <c r="G35" s="63"/>
      <c r="H35" s="63"/>
      <c r="I35" s="63"/>
    </row>
    <row r="36" spans="4:9" ht="15.6" x14ac:dyDescent="0.3">
      <c r="D36" s="62" t="s">
        <v>118</v>
      </c>
      <c r="E36" s="68">
        <f>E32</f>
        <v>2588040089</v>
      </c>
      <c r="F36" s="68">
        <f>F32</f>
        <v>-311758612</v>
      </c>
      <c r="G36" s="68">
        <f>G32+G34</f>
        <v>1987690740</v>
      </c>
      <c r="H36" s="68">
        <f>H32</f>
        <v>8076601678</v>
      </c>
      <c r="I36" s="68">
        <f>I32</f>
        <v>15495386793</v>
      </c>
    </row>
    <row r="37" spans="4:9" ht="15.6" x14ac:dyDescent="0.3">
      <c r="D37" s="70"/>
    </row>
    <row r="39" spans="4:9" ht="15.6" x14ac:dyDescent="0.3">
      <c r="D39" s="55"/>
    </row>
    <row r="40" spans="4:9" x14ac:dyDescent="0.25">
      <c r="D40" s="74"/>
      <c r="E40" s="75">
        <v>64929015</v>
      </c>
      <c r="F40" s="75">
        <v>40786134</v>
      </c>
      <c r="G40" s="75">
        <v>238156725</v>
      </c>
      <c r="H40" s="75">
        <v>144449333</v>
      </c>
      <c r="I40" s="75">
        <v>228645825</v>
      </c>
    </row>
    <row r="41" spans="4:9" x14ac:dyDescent="0.3">
      <c r="D41" s="76">
        <f>+AVERAGE(E41:I41)</f>
        <v>4.9626457450084802E-2</v>
      </c>
      <c r="E41" s="77">
        <f>+E40/E32</f>
        <v>2.5088102489590144E-2</v>
      </c>
      <c r="F41" s="77">
        <f t="shared" ref="F41:I41" si="5">+F40/F32</f>
        <v>-0.13082600585866094</v>
      </c>
      <c r="G41" s="77">
        <f t="shared" si="5"/>
        <v>0.32122954056255015</v>
      </c>
      <c r="H41" s="77">
        <f t="shared" si="5"/>
        <v>1.7884914814292271E-2</v>
      </c>
      <c r="I41" s="77">
        <f t="shared" si="5"/>
        <v>1.4755735242652357E-2</v>
      </c>
    </row>
    <row r="42" spans="4:9" x14ac:dyDescent="0.3">
      <c r="E42" s="63"/>
      <c r="F42" s="63"/>
      <c r="G42" s="63"/>
      <c r="H42" s="63"/>
      <c r="I42" s="63"/>
    </row>
    <row r="43" spans="4:9" x14ac:dyDescent="0.3">
      <c r="E43" s="63"/>
      <c r="F43" s="63"/>
      <c r="G43" s="63"/>
      <c r="H43" s="63"/>
      <c r="I43" s="63"/>
    </row>
    <row r="44" spans="4:9" x14ac:dyDescent="0.3">
      <c r="E44" s="63"/>
      <c r="F44" s="63"/>
      <c r="G44" s="63"/>
      <c r="H44" s="63"/>
      <c r="I44" s="63"/>
    </row>
    <row r="45" spans="4:9" x14ac:dyDescent="0.3">
      <c r="E45" s="63"/>
      <c r="F45" s="63"/>
      <c r="G45" s="63"/>
      <c r="H45" s="63"/>
      <c r="I45" s="63"/>
    </row>
    <row r="46" spans="4:9" x14ac:dyDescent="0.3">
      <c r="E46" s="63"/>
      <c r="F46" s="63"/>
      <c r="G46" s="63"/>
      <c r="H46" s="63"/>
      <c r="I46" s="63"/>
    </row>
    <row r="47" spans="4:9" x14ac:dyDescent="0.3">
      <c r="E47" s="63"/>
      <c r="F47" s="63"/>
      <c r="G47" s="63"/>
      <c r="H47" s="63"/>
      <c r="I47" s="63"/>
    </row>
    <row r="48" spans="4:9" x14ac:dyDescent="0.3">
      <c r="E48" s="63"/>
      <c r="F48" s="63"/>
      <c r="G48" s="63"/>
      <c r="H48" s="63"/>
      <c r="I48" s="63"/>
    </row>
    <row r="49" spans="4:9" x14ac:dyDescent="0.3">
      <c r="E49" s="63"/>
      <c r="F49" s="63"/>
      <c r="G49" s="63"/>
      <c r="H49" s="63"/>
      <c r="I49" s="63"/>
    </row>
    <row r="50" spans="4:9" x14ac:dyDescent="0.3">
      <c r="E50" s="63"/>
      <c r="F50" s="63"/>
      <c r="G50" s="63"/>
      <c r="H50" s="63"/>
      <c r="I50" s="63"/>
    </row>
    <row r="52" spans="4:9" ht="15.6" x14ac:dyDescent="0.3">
      <c r="D52" s="55"/>
      <c r="E52" s="68"/>
      <c r="F52" s="68"/>
      <c r="G52" s="68"/>
      <c r="H52" s="68"/>
      <c r="I52" s="68"/>
    </row>
    <row r="54" spans="4:9" ht="15.6" x14ac:dyDescent="0.3">
      <c r="D54" s="55"/>
    </row>
    <row r="56" spans="4:9" x14ac:dyDescent="0.3">
      <c r="E56" s="63"/>
      <c r="F56" s="63"/>
      <c r="G56" s="63"/>
      <c r="H56" s="63"/>
      <c r="I56" s="63"/>
    </row>
    <row r="57" spans="4:9" x14ac:dyDescent="0.3">
      <c r="E57" s="63"/>
      <c r="F57" s="63"/>
      <c r="G57" s="63"/>
      <c r="H57" s="63"/>
      <c r="I57" s="63"/>
    </row>
    <row r="58" spans="4:9" x14ac:dyDescent="0.3">
      <c r="E58" s="63"/>
      <c r="F58" s="63"/>
      <c r="G58" s="63"/>
      <c r="H58" s="63"/>
      <c r="I58" s="63"/>
    </row>
    <row r="59" spans="4:9" x14ac:dyDescent="0.3">
      <c r="E59" s="63"/>
      <c r="F59" s="63"/>
      <c r="G59" s="63"/>
      <c r="H59" s="63"/>
      <c r="I59" s="63"/>
    </row>
    <row r="60" spans="4:9" x14ac:dyDescent="0.3">
      <c r="E60" s="63"/>
      <c r="F60" s="63"/>
      <c r="G60" s="63"/>
      <c r="H60" s="63"/>
      <c r="I60" s="63"/>
    </row>
    <row r="61" spans="4:9" x14ac:dyDescent="0.3">
      <c r="E61" s="63"/>
      <c r="F61" s="63"/>
      <c r="G61" s="63"/>
      <c r="H61" s="63"/>
      <c r="I61" s="63"/>
    </row>
    <row r="62" spans="4:9" x14ac:dyDescent="0.3">
      <c r="E62" s="63"/>
      <c r="F62" s="63"/>
      <c r="G62" s="63"/>
      <c r="H62" s="63"/>
      <c r="I62" s="63"/>
    </row>
    <row r="64" spans="4:9" ht="15.6" x14ac:dyDescent="0.3">
      <c r="D64" s="55"/>
      <c r="E64" s="68"/>
      <c r="F64" s="68"/>
      <c r="G64" s="68"/>
      <c r="H64" s="68"/>
      <c r="I64" s="68"/>
    </row>
    <row r="66" spans="4:9" ht="15.6" x14ac:dyDescent="0.3">
      <c r="D66" s="55"/>
      <c r="E66" s="68"/>
      <c r="F66" s="68"/>
      <c r="G66" s="68"/>
      <c r="H66" s="68"/>
      <c r="I66" s="68"/>
    </row>
    <row r="68" spans="4:9" ht="15.6" x14ac:dyDescent="0.3">
      <c r="D68" s="55"/>
    </row>
    <row r="70" spans="4:9" x14ac:dyDescent="0.3">
      <c r="E70" s="63"/>
      <c r="F70" s="63"/>
      <c r="G70" s="63"/>
      <c r="H70" s="63"/>
      <c r="I70" s="63"/>
    </row>
    <row r="71" spans="4:9" x14ac:dyDescent="0.3">
      <c r="E71" s="63"/>
      <c r="F71" s="63"/>
      <c r="G71" s="63"/>
      <c r="H71" s="63"/>
      <c r="I71" s="63"/>
    </row>
    <row r="72" spans="4:9" x14ac:dyDescent="0.3">
      <c r="E72" s="63"/>
      <c r="F72" s="63"/>
      <c r="G72" s="63"/>
      <c r="H72" s="63"/>
      <c r="I72" s="63"/>
    </row>
    <row r="74" spans="4:9" ht="15.6" x14ac:dyDescent="0.3">
      <c r="D74" s="55"/>
      <c r="E74" s="68"/>
      <c r="F74" s="68"/>
      <c r="G74" s="68"/>
      <c r="H74" s="68"/>
      <c r="I74" s="68"/>
    </row>
    <row r="76" spans="4:9" x14ac:dyDescent="0.3">
      <c r="E76" s="63"/>
      <c r="F76" s="63"/>
      <c r="G76" s="63"/>
      <c r="H76" s="63"/>
      <c r="I76" s="63"/>
    </row>
    <row r="77" spans="4:9" x14ac:dyDescent="0.3">
      <c r="E77" s="63"/>
      <c r="F77" s="63"/>
      <c r="G77" s="63"/>
      <c r="H77" s="63"/>
      <c r="I77" s="63"/>
    </row>
    <row r="78" spans="4:9" x14ac:dyDescent="0.3">
      <c r="E78" s="63"/>
      <c r="F78" s="63"/>
      <c r="G78" s="63"/>
      <c r="H78" s="63"/>
      <c r="I78" s="63"/>
    </row>
    <row r="79" spans="4:9" x14ac:dyDescent="0.3">
      <c r="E79" s="63"/>
      <c r="F79" s="63"/>
      <c r="G79" s="63"/>
      <c r="H79" s="63"/>
      <c r="I79" s="63"/>
    </row>
    <row r="80" spans="4:9" x14ac:dyDescent="0.3">
      <c r="E80" s="63"/>
      <c r="F80" s="63"/>
      <c r="G80" s="63"/>
      <c r="H80" s="63"/>
      <c r="I80" s="63"/>
    </row>
    <row r="81" spans="4:9" x14ac:dyDescent="0.3">
      <c r="E81" s="63"/>
      <c r="F81" s="63"/>
      <c r="G81" s="63"/>
      <c r="H81" s="63"/>
      <c r="I81" s="63"/>
    </row>
    <row r="82" spans="4:9" x14ac:dyDescent="0.3">
      <c r="E82" s="63"/>
      <c r="F82" s="63"/>
      <c r="G82" s="63"/>
      <c r="H82" s="63"/>
      <c r="I82" s="63"/>
    </row>
    <row r="83" spans="4:9" x14ac:dyDescent="0.3">
      <c r="E83" s="63"/>
      <c r="F83" s="63"/>
      <c r="G83" s="63"/>
      <c r="H83" s="63"/>
      <c r="I83" s="63"/>
    </row>
    <row r="84" spans="4:9" x14ac:dyDescent="0.3">
      <c r="E84" s="63"/>
      <c r="F84" s="63"/>
      <c r="G84" s="63"/>
      <c r="H84" s="63"/>
      <c r="I84" s="63"/>
    </row>
    <row r="85" spans="4:9" x14ac:dyDescent="0.3">
      <c r="E85" s="63"/>
      <c r="F85" s="63"/>
      <c r="G85" s="63"/>
      <c r="H85" s="63"/>
      <c r="I85" s="63"/>
    </row>
    <row r="87" spans="4:9" ht="15.6" x14ac:dyDescent="0.3">
      <c r="D87" s="55"/>
      <c r="E87" s="68"/>
      <c r="F87" s="68"/>
      <c r="G87" s="68"/>
      <c r="H87" s="68"/>
      <c r="I87" s="68"/>
    </row>
    <row r="89" spans="4:9" ht="15.6" x14ac:dyDescent="0.3">
      <c r="D89" s="55"/>
      <c r="E89" s="68"/>
      <c r="F89" s="68"/>
      <c r="G89" s="68"/>
      <c r="H89" s="68"/>
      <c r="I89" s="68"/>
    </row>
    <row r="90" spans="4:9" x14ac:dyDescent="0.3">
      <c r="E90" s="78"/>
      <c r="F90" s="78"/>
      <c r="G90" s="78"/>
      <c r="H90" s="78"/>
      <c r="I90" s="78"/>
    </row>
    <row r="91" spans="4:9" x14ac:dyDescent="0.3">
      <c r="E91" s="63"/>
      <c r="F91" s="63"/>
      <c r="G91" s="63"/>
      <c r="H91" s="63"/>
      <c r="I91" s="63"/>
    </row>
    <row r="92" spans="4:9" x14ac:dyDescent="0.3">
      <c r="E92" s="63"/>
      <c r="F92" s="63"/>
      <c r="G92" s="63"/>
      <c r="H92" s="63"/>
      <c r="I92" s="63"/>
    </row>
    <row r="94" spans="4:9" ht="15.6" x14ac:dyDescent="0.3">
      <c r="D94" s="55"/>
      <c r="E94" s="68"/>
      <c r="F94" s="68"/>
      <c r="G94" s="68"/>
      <c r="H94" s="68"/>
      <c r="I94" s="68"/>
    </row>
  </sheetData>
  <mergeCells count="1">
    <mergeCell ref="D1:I1"/>
  </mergeCells>
  <pageMargins left="0.7" right="0.7" top="0.75" bottom="0.75" header="0.3" footer="0.3"/>
  <pageSetup orientation="portrait" r:id="rId1"/>
  <ignoredErrors>
    <ignoredError sqref="G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9900"/>
  </sheetPr>
  <dimension ref="A1:K77"/>
  <sheetViews>
    <sheetView showGridLines="0" topLeftCell="A9" workbookViewId="0">
      <selection activeCell="H7" sqref="H7"/>
    </sheetView>
  </sheetViews>
  <sheetFormatPr baseColWidth="10" defaultColWidth="11.44140625" defaultRowHeight="15" x14ac:dyDescent="0.3"/>
  <cols>
    <col min="1" max="1" width="7.109375" style="59" customWidth="1"/>
    <col min="2" max="2" width="39.44140625" style="59" bestFit="1" customWidth="1"/>
    <col min="3" max="6" width="12.33203125" style="59" bestFit="1" customWidth="1"/>
    <col min="7" max="7" width="13.6640625" style="59" bestFit="1" customWidth="1"/>
    <col min="8" max="8" width="23.88671875" style="92" bestFit="1" customWidth="1"/>
    <col min="9" max="9" width="22" style="59" bestFit="1" customWidth="1"/>
    <col min="10" max="10" width="8.44140625" style="59" bestFit="1" customWidth="1"/>
    <col min="11" max="11" width="11" style="59" bestFit="1" customWidth="1"/>
    <col min="12" max="16384" width="11.44140625" style="2"/>
  </cols>
  <sheetData>
    <row r="1" spans="2:10" ht="24" customHeight="1" thickBot="1" x14ac:dyDescent="0.35">
      <c r="B1" s="119" t="s">
        <v>37</v>
      </c>
      <c r="C1" s="120"/>
      <c r="D1" s="120"/>
      <c r="E1" s="120"/>
      <c r="F1" s="120"/>
      <c r="H1" s="121" t="s">
        <v>119</v>
      </c>
      <c r="I1" s="121"/>
    </row>
    <row r="3" spans="2:10" ht="15.6" x14ac:dyDescent="0.3">
      <c r="C3" s="54" t="s">
        <v>102</v>
      </c>
      <c r="D3" s="54" t="s">
        <v>103</v>
      </c>
      <c r="E3" s="54" t="s">
        <v>104</v>
      </c>
      <c r="F3" s="54" t="s">
        <v>105</v>
      </c>
      <c r="G3" s="79" t="s">
        <v>66</v>
      </c>
      <c r="H3" s="79">
        <v>2023</v>
      </c>
      <c r="I3" s="79">
        <v>2024</v>
      </c>
    </row>
    <row r="4" spans="2:10" x14ac:dyDescent="0.3">
      <c r="G4" s="80"/>
      <c r="H4" s="81"/>
      <c r="I4" s="80"/>
    </row>
    <row r="5" spans="2:10" ht="15.6" x14ac:dyDescent="0.3">
      <c r="B5" s="55" t="s">
        <v>0</v>
      </c>
      <c r="C5" s="54"/>
      <c r="D5" s="54"/>
      <c r="E5" s="54"/>
      <c r="F5" s="54"/>
      <c r="G5" s="80"/>
      <c r="H5" s="81"/>
      <c r="I5" s="80"/>
    </row>
    <row r="6" spans="2:10" x14ac:dyDescent="0.3">
      <c r="G6" s="80"/>
      <c r="H6" s="81"/>
      <c r="I6" s="80"/>
    </row>
    <row r="7" spans="2:10" ht="15.6" x14ac:dyDescent="0.3">
      <c r="B7" s="55" t="s">
        <v>1</v>
      </c>
      <c r="G7" s="80"/>
      <c r="H7" s="81"/>
      <c r="I7" s="80"/>
    </row>
    <row r="8" spans="2:10" x14ac:dyDescent="0.3">
      <c r="G8" s="80"/>
      <c r="H8" s="81"/>
      <c r="I8" s="80"/>
    </row>
    <row r="9" spans="2:10" x14ac:dyDescent="0.25">
      <c r="B9" s="65" t="s">
        <v>68</v>
      </c>
      <c r="C9" s="82">
        <f>+('BALANCES GENERAL 2018-2022'!F7-'BALANCES GENERAL 2018-2022'!E7)/'BALANCES GENERAL 2018-2022'!E7</f>
        <v>-0.71357877039403239</v>
      </c>
      <c r="D9" s="82">
        <f>+('BALANCES GENERAL 2018-2022'!G7-'BALANCES GENERAL 2018-2022'!F7)/'BALANCES GENERAL 2018-2022'!F7</f>
        <v>2.3320234720184723</v>
      </c>
      <c r="E9" s="82">
        <f>+('BALANCES GENERAL 2018-2022'!H7-'BALANCES GENERAL 2018-2022'!G7)/'BALANCES GENERAL 2018-2022'!G7</f>
        <v>2.1554021799948626</v>
      </c>
      <c r="F9" s="82">
        <f>+('BALANCES GENERAL 2018-2022'!I7-'BALANCES GENERAL 2018-2022'!H7)/'BALANCES GENERAL 2018-2022'!H7</f>
        <v>1.1350057691442106</v>
      </c>
      <c r="G9" s="83">
        <f>AVERAGE(C9:F9)</f>
        <v>1.2272131626908784</v>
      </c>
      <c r="H9" s="84">
        <f>+'BALANCES GENERAL 2018-2022'!I7*(1+'ANALISIS HORIZONTAL BG'!G9)</f>
        <v>68630736127.171555</v>
      </c>
      <c r="I9" s="85">
        <f>+H9*(1+G9)</f>
        <v>152855278867.60089</v>
      </c>
    </row>
    <row r="10" spans="2:10" x14ac:dyDescent="0.25">
      <c r="B10" s="65" t="s">
        <v>69</v>
      </c>
      <c r="C10" s="82">
        <v>0</v>
      </c>
      <c r="D10" s="82">
        <v>0</v>
      </c>
      <c r="E10" s="82">
        <v>0</v>
      </c>
      <c r="F10" s="82">
        <v>0</v>
      </c>
      <c r="G10" s="83">
        <f t="shared" ref="G10:G16" si="0">AVERAGE(C10:F10)</f>
        <v>0</v>
      </c>
      <c r="H10" s="83">
        <f t="shared" ref="H10" si="1">AVERAGE(D10:G10)</f>
        <v>0</v>
      </c>
      <c r="I10" s="83">
        <f t="shared" ref="I10" si="2">AVERAGE(E10:H10)</f>
        <v>0</v>
      </c>
    </row>
    <row r="11" spans="2:10" x14ac:dyDescent="0.25">
      <c r="B11" s="86" t="s">
        <v>70</v>
      </c>
      <c r="C11" s="82">
        <f>+('BALANCES GENERAL 2018-2022'!F9-'BALANCES GENERAL 2018-2022'!E9)/'BALANCES GENERAL 2018-2022'!E9</f>
        <v>2.8381822063075446</v>
      </c>
      <c r="D11" s="82">
        <f>+('BALANCES GENERAL 2018-2022'!G9-'BALANCES GENERAL 2018-2022'!F9)/'BALANCES GENERAL 2018-2022'!F9</f>
        <v>0.41216478742910739</v>
      </c>
      <c r="E11" s="82">
        <f>+('BALANCES GENERAL 2018-2022'!H9-'BALANCES GENERAL 2018-2022'!G9)/'BALANCES GENERAL 2018-2022'!G9</f>
        <v>0.47300743135447576</v>
      </c>
      <c r="F11" s="82">
        <f>+('BALANCES GENERAL 2018-2022'!I9-'BALANCES GENERAL 2018-2022'!H9)/'BALANCES GENERAL 2018-2022'!H9</f>
        <v>3.0193998945857534E-2</v>
      </c>
      <c r="G11" s="83">
        <f t="shared" si="0"/>
        <v>0.93838710600924635</v>
      </c>
      <c r="H11" s="84">
        <f>+'BALANCES GENERAL 2018-2022'!I9*(1+'ANALISIS HORIZONTAL BG'!G11)</f>
        <v>6045249681.8413677</v>
      </c>
      <c r="I11" s="85">
        <f>+H11*(1+G11)</f>
        <v>11718034035.887806</v>
      </c>
    </row>
    <row r="12" spans="2:10" x14ac:dyDescent="0.25">
      <c r="B12" s="86" t="s">
        <v>71</v>
      </c>
      <c r="C12" s="82">
        <f>+('BALANCES GENERAL 2018-2022'!F10-'BALANCES GENERAL 2018-2022'!E10)/'BALANCES GENERAL 2018-2022'!E10</f>
        <v>7.050115678762045E-2</v>
      </c>
      <c r="D12" s="82">
        <f>+('BALANCES GENERAL 2018-2022'!G10-'BALANCES GENERAL 2018-2022'!F10)/'BALANCES GENERAL 2018-2022'!F10</f>
        <v>-0.2248926199913793</v>
      </c>
      <c r="E12" s="82">
        <f>+('BALANCES GENERAL 2018-2022'!H10-'BALANCES GENERAL 2018-2022'!G10)/'BALANCES GENERAL 2018-2022'!G10</f>
        <v>0.32082734996914675</v>
      </c>
      <c r="F12" s="82">
        <f>+('BALANCES GENERAL 2018-2022'!I10-'BALANCES GENERAL 2018-2022'!H10)/'BALANCES GENERAL 2018-2022'!H10</f>
        <v>0.36137965400831501</v>
      </c>
      <c r="G12" s="83">
        <f t="shared" si="0"/>
        <v>0.13195388519342571</v>
      </c>
      <c r="H12" s="84">
        <f>+'BALANCES GENERAL 2018-2022'!I10*(1+'ANALISIS HORIZONTAL BG'!G12)</f>
        <v>3366483737.1868563</v>
      </c>
      <c r="I12" s="85">
        <f>+H12*(1+G12)</f>
        <v>3810704345.749145</v>
      </c>
    </row>
    <row r="13" spans="2:10" x14ac:dyDescent="0.25">
      <c r="B13" s="65" t="s">
        <v>64</v>
      </c>
      <c r="C13" s="82">
        <f>+('BALANCES GENERAL 2018-2022'!F11-'BALANCES GENERAL 2018-2022'!E11)/'BALANCES GENERAL 2018-2022'!E11</f>
        <v>-0.25186621236409129</v>
      </c>
      <c r="D13" s="82">
        <f>+('BALANCES GENERAL 2018-2022'!G11-'BALANCES GENERAL 2018-2022'!F11)/'BALANCES GENERAL 2018-2022'!F11</f>
        <v>5.2191939255175047E-2</v>
      </c>
      <c r="E13" s="82">
        <f>+('BALANCES GENERAL 2018-2022'!H11-'BALANCES GENERAL 2018-2022'!G11)/'BALANCES GENERAL 2018-2022'!G11</f>
        <v>0.25622432451247007</v>
      </c>
      <c r="F13" s="82">
        <f>+('BALANCES GENERAL 2018-2022'!I11-'BALANCES GENERAL 2018-2022'!H11)/'BALANCES GENERAL 2018-2022'!H11</f>
        <v>0.52482974153598339</v>
      </c>
      <c r="G13" s="83">
        <f t="shared" si="0"/>
        <v>0.14534494823488431</v>
      </c>
      <c r="H13" s="84">
        <f>+'BALANCES GENERAL 2018-2022'!I11*(1+'ANALISIS HORIZONTAL BG'!G13)</f>
        <v>5566672930.1241484</v>
      </c>
      <c r="I13" s="85">
        <f>+H13*(1+G13)</f>
        <v>6375760718.9935741</v>
      </c>
    </row>
    <row r="14" spans="2:10" x14ac:dyDescent="0.25">
      <c r="B14" s="65" t="s">
        <v>72</v>
      </c>
      <c r="C14" s="82">
        <v>0</v>
      </c>
      <c r="D14" s="87">
        <v>0</v>
      </c>
      <c r="E14" s="87">
        <v>0</v>
      </c>
      <c r="F14" s="87">
        <v>0</v>
      </c>
      <c r="G14" s="83">
        <f t="shared" si="0"/>
        <v>0</v>
      </c>
      <c r="H14" s="84">
        <f>+'BALANCES GENERAL 2018-2022'!I12*(1+'ANALISIS HORIZONTAL BG'!G14)</f>
        <v>0</v>
      </c>
      <c r="I14" s="84">
        <f>+'BALANCES GENERAL 2018-2022'!J12*(1+'ANALISIS HORIZONTAL BG'!H14)</f>
        <v>0</v>
      </c>
      <c r="J14" s="76"/>
    </row>
    <row r="15" spans="2:10" x14ac:dyDescent="0.25">
      <c r="B15" s="86" t="s">
        <v>73</v>
      </c>
      <c r="C15" s="82">
        <v>0</v>
      </c>
      <c r="D15" s="87">
        <v>0</v>
      </c>
      <c r="E15" s="82">
        <f>+('BALANCES GENERAL 2018-2022'!H13-'BALANCES GENERAL 2018-2022'!G13)/'BALANCES GENERAL 2018-2022'!G13</f>
        <v>-1</v>
      </c>
      <c r="F15" s="87">
        <v>0</v>
      </c>
      <c r="G15" s="83">
        <f t="shared" si="0"/>
        <v>-0.25</v>
      </c>
      <c r="H15" s="84">
        <f>+'BALANCES GENERAL 2018-2022'!I13*(1+'ANALISIS HORIZONTAL BG'!G15)</f>
        <v>0</v>
      </c>
      <c r="I15" s="84">
        <f>+'BALANCES GENERAL 2018-2022'!J13*(1+'ANALISIS HORIZONTAL BG'!H15)</f>
        <v>0</v>
      </c>
      <c r="J15" s="88"/>
    </row>
    <row r="16" spans="2:10" x14ac:dyDescent="0.25">
      <c r="B16" s="86" t="s">
        <v>74</v>
      </c>
      <c r="C16" s="82">
        <v>0</v>
      </c>
      <c r="D16" s="87">
        <v>0</v>
      </c>
      <c r="E16" s="82">
        <f>+('BALANCES GENERAL 2018-2022'!H14-'BALANCES GENERAL 2018-2022'!G14)/'BALANCES GENERAL 2018-2022'!G14</f>
        <v>-8.3333412471426838E-2</v>
      </c>
      <c r="F16" s="82">
        <f>+('BALANCES GENERAL 2018-2022'!I14-'BALANCES GENERAL 2018-2022'!H14)/'BALANCES GENERAL 2018-2022'!H14</f>
        <v>0</v>
      </c>
      <c r="G16" s="83">
        <f t="shared" si="0"/>
        <v>-2.0833353117856709E-2</v>
      </c>
      <c r="H16" s="84">
        <f>+'BALANCES GENERAL 2018-2022'!I14*(1+'ANALISIS HORIZONTAL BG'!G16)</f>
        <v>124759927.87500021</v>
      </c>
      <c r="I16" s="85">
        <f>+H16*(1+G16)</f>
        <v>122160760.24262199</v>
      </c>
    </row>
    <row r="17" spans="2:9" x14ac:dyDescent="0.25">
      <c r="B17" s="86" t="s">
        <v>75</v>
      </c>
      <c r="C17" s="82">
        <v>0</v>
      </c>
      <c r="D17" s="87">
        <v>0</v>
      </c>
      <c r="E17" s="82">
        <f>+('BALANCES GENERAL 2018-2022'!H15-'BALANCES GENERAL 2018-2022'!G15)/'BALANCES GENERAL 2018-2022'!G15</f>
        <v>-8.3333320117474283E-2</v>
      </c>
      <c r="F17" s="82">
        <f>+('BALANCES GENERAL 2018-2022'!I15-'BALANCES GENERAL 2018-2022'!H15)/'BALANCES GENERAL 2018-2022'!H15</f>
        <v>0</v>
      </c>
      <c r="G17" s="83">
        <f>AVERAGE(C17:F17)</f>
        <v>-2.0833330029368571E-2</v>
      </c>
      <c r="H17" s="84">
        <f>+'BALANCES GENERAL 2018-2022'!I15*(1+'ANALISIS HORIZONTAL BG'!G17)</f>
        <v>186769244.921875</v>
      </c>
      <c r="I17" s="85">
        <f>+H17*(1+G17)</f>
        <v>182878219.60308161</v>
      </c>
    </row>
    <row r="18" spans="2:9" ht="15.6" x14ac:dyDescent="0.3">
      <c r="C18" s="89"/>
      <c r="D18" s="89"/>
      <c r="E18" s="89"/>
      <c r="F18" s="89"/>
      <c r="H18" s="90">
        <f>SUM(H9:H17)</f>
        <v>83920671649.120804</v>
      </c>
      <c r="I18" s="91">
        <f>SUM(I9:I17)</f>
        <v>175064816948.07712</v>
      </c>
    </row>
    <row r="19" spans="2:9" x14ac:dyDescent="0.3">
      <c r="C19" s="89"/>
      <c r="D19" s="89"/>
      <c r="E19" s="89"/>
      <c r="F19" s="89"/>
    </row>
    <row r="21" spans="2:9" ht="15.6" x14ac:dyDescent="0.3">
      <c r="B21" s="55" t="s">
        <v>2</v>
      </c>
      <c r="C21" s="93"/>
      <c r="D21" s="93"/>
      <c r="E21" s="93"/>
      <c r="F21" s="93"/>
      <c r="G21" s="94"/>
    </row>
    <row r="23" spans="2:9" ht="15.6" x14ac:dyDescent="0.3">
      <c r="B23" s="55" t="s">
        <v>10</v>
      </c>
    </row>
    <row r="25" spans="2:9" x14ac:dyDescent="0.25">
      <c r="B25" s="65" t="s">
        <v>76</v>
      </c>
      <c r="C25" s="82">
        <v>0</v>
      </c>
      <c r="D25" s="82">
        <v>0</v>
      </c>
      <c r="E25" s="82">
        <f>+('BALANCES GENERAL 2018-2022'!H21-'BALANCES GENERAL 2018-2022'!G21)/'BALANCES GENERAL 2018-2022'!G21</f>
        <v>0</v>
      </c>
      <c r="F25" s="82">
        <f>+('BALANCES GENERAL 2018-2022'!I21-'BALANCES GENERAL 2018-2022'!H21)/'BALANCES GENERAL 2018-2022'!H21</f>
        <v>0.68689249352495296</v>
      </c>
      <c r="G25" s="83">
        <f>AVERAGE(C25:F25)</f>
        <v>0.17172312338123824</v>
      </c>
      <c r="H25" s="84">
        <f>+'BALANCES GENERAL 2018-2022'!I21*(1+'ANALISIS HORIZONTAL BG'!G25)</f>
        <v>418313395.77582878</v>
      </c>
      <c r="I25" s="85">
        <f>+H25*(1+G25)</f>
        <v>490147478.65066612</v>
      </c>
    </row>
    <row r="26" spans="2:9" x14ac:dyDescent="0.25">
      <c r="B26" s="65" t="s">
        <v>72</v>
      </c>
      <c r="C26" s="82">
        <v>0</v>
      </c>
      <c r="D26" s="82">
        <v>0</v>
      </c>
      <c r="E26" s="82">
        <v>0</v>
      </c>
      <c r="F26" s="82">
        <v>0</v>
      </c>
      <c r="G26" s="83">
        <f t="shared" ref="G26:G31" si="3">AVERAGE(C26:F26)</f>
        <v>0</v>
      </c>
      <c r="H26" s="84">
        <f>+'BALANCES GENERAL 2018-2022'!I22*(1+'ANALISIS HORIZONTAL BG'!G26)</f>
        <v>0</v>
      </c>
      <c r="I26" s="84">
        <f>+H26*(1+G26)</f>
        <v>0</v>
      </c>
    </row>
    <row r="27" spans="2:9" x14ac:dyDescent="0.25">
      <c r="B27" s="86" t="s">
        <v>74</v>
      </c>
      <c r="C27" s="82">
        <f>+('BALANCES GENERAL 2018-2022'!F23-'BALANCES GENERAL 2018-2022'!E23)/'BALANCES GENERAL 2018-2022'!E23</f>
        <v>-3.9755353550237398E-2</v>
      </c>
      <c r="D27" s="82">
        <f>+('BALANCES GENERAL 2018-2022'!G23-'BALANCES GENERAL 2018-2022'!F23)/'BALANCES GENERAL 2018-2022'!F23</f>
        <v>-8.2010872076682978E-2</v>
      </c>
      <c r="E27" s="82">
        <f>+('BALANCES GENERAL 2018-2022'!H23-'BALANCES GENERAL 2018-2022'!G23)/'BALANCES GENERAL 2018-2022'!G23</f>
        <v>-3.5382194981905979E-2</v>
      </c>
      <c r="F27" s="82">
        <f>+('BALANCES GENERAL 2018-2022'!I23-'BALANCES GENERAL 2018-2022'!H23)/'BALANCES GENERAL 2018-2022'!H23</f>
        <v>-4.3336554815397763E-2</v>
      </c>
      <c r="G27" s="83">
        <f t="shared" si="3"/>
        <v>-5.0121243856056027E-2</v>
      </c>
      <c r="H27" s="84">
        <f>+'BALANCES GENERAL 2018-2022'!I23*(1+'ANALISIS HORIZONTAL BG'!G27)</f>
        <v>2926682754.3103642</v>
      </c>
      <c r="I27" s="85">
        <f>H27*(1+G27)</f>
        <v>2779993774.2922611</v>
      </c>
    </row>
    <row r="28" spans="2:9" x14ac:dyDescent="0.25">
      <c r="B28" s="86" t="s">
        <v>77</v>
      </c>
      <c r="C28" s="82">
        <f>+('BALANCES GENERAL 2018-2022'!F24-'BALANCES GENERAL 2018-2022'!E24)/'BALANCES GENERAL 2018-2022'!E24</f>
        <v>-3.8802766392176315E-2</v>
      </c>
      <c r="D28" s="82">
        <f>+('BALANCES GENERAL 2018-2022'!G24-'BALANCES GENERAL 2018-2022'!F24)/'BALANCES GENERAL 2018-2022'!F24</f>
        <v>-8.2092267687670015E-2</v>
      </c>
      <c r="E28" s="82">
        <f>+('BALANCES GENERAL 2018-2022'!H24-'BALANCES GENERAL 2018-2022'!G24)/'BALANCES GENERAL 2018-2022'!G24</f>
        <v>-3.0783491645151807E-2</v>
      </c>
      <c r="F28" s="82">
        <f>+('BALANCES GENERAL 2018-2022'!I24-'BALANCES GENERAL 2018-2022'!H24)/'BALANCES GENERAL 2018-2022'!H24</f>
        <v>-4.3285127325661962E-2</v>
      </c>
      <c r="G28" s="83">
        <f t="shared" si="3"/>
        <v>-4.8740913262665025E-2</v>
      </c>
      <c r="H28" s="84">
        <f>+'BALANCES GENERAL 2018-2022'!I24*(1+'ANALISIS HORIZONTAL BG'!G28)</f>
        <v>4450934315.0425844</v>
      </c>
      <c r="I28" s="85">
        <f t="shared" ref="I28:I33" si="4">H28*(1+G28)</f>
        <v>4233991711.6552744</v>
      </c>
    </row>
    <row r="29" spans="2:9" x14ac:dyDescent="0.25">
      <c r="B29" s="65" t="s">
        <v>64</v>
      </c>
      <c r="C29" s="82">
        <v>0</v>
      </c>
      <c r="D29" s="82">
        <v>0</v>
      </c>
      <c r="E29" s="82">
        <v>0</v>
      </c>
      <c r="F29" s="82">
        <v>0</v>
      </c>
      <c r="G29" s="83">
        <f t="shared" si="3"/>
        <v>0</v>
      </c>
      <c r="H29" s="84">
        <f>+'BALANCES GENERAL 2018-2022'!I25*(1+'ANALISIS HORIZONTAL BG'!G29)</f>
        <v>0</v>
      </c>
      <c r="I29" s="85">
        <f t="shared" si="4"/>
        <v>0</v>
      </c>
    </row>
    <row r="30" spans="2:9" x14ac:dyDescent="0.25">
      <c r="B30" s="86" t="s">
        <v>78</v>
      </c>
      <c r="C30" s="82">
        <f>+('BALANCES GENERAL 2018-2022'!F26-'BALANCES GENERAL 2018-2022'!E26)/'BALANCES GENERAL 2018-2022'!E26</f>
        <v>-4.5607050923141462E-2</v>
      </c>
      <c r="D30" s="82">
        <f>+('BALANCES GENERAL 2018-2022'!G26-'BALANCES GENERAL 2018-2022'!F26)/'BALANCES GENERAL 2018-2022'!F26</f>
        <v>-0.10615588022911646</v>
      </c>
      <c r="E30" s="82">
        <f>+('BALANCES GENERAL 2018-2022'!H26-'BALANCES GENERAL 2018-2022'!G26)/'BALANCES GENERAL 2018-2022'!G26</f>
        <v>-3.0482067663104094E-2</v>
      </c>
      <c r="F30" s="82">
        <f>+('BALANCES GENERAL 2018-2022'!I26-'BALANCES GENERAL 2018-2022'!H26)/'BALANCES GENERAL 2018-2022'!H26</f>
        <v>-0.12054592998788452</v>
      </c>
      <c r="G30" s="83">
        <f t="shared" si="3"/>
        <v>-7.5697732200811635E-2</v>
      </c>
      <c r="H30" s="84">
        <f>+'BALANCES GENERAL 2018-2022'!I26*(1+'ANALISIS HORIZONTAL BG'!G30)</f>
        <v>3298991133.9580879</v>
      </c>
      <c r="I30" s="85">
        <f t="shared" si="4"/>
        <v>3049264986.5668764</v>
      </c>
    </row>
    <row r="31" spans="2:9" ht="60" x14ac:dyDescent="0.25">
      <c r="B31" s="95" t="s">
        <v>79</v>
      </c>
      <c r="C31" s="82">
        <f>+('BALANCES GENERAL 2018-2022'!F27-'BALANCES GENERAL 2018-2022'!E27)/'BALANCES GENERAL 2018-2022'!E27</f>
        <v>7.7743668616974015E-2</v>
      </c>
      <c r="D31" s="82">
        <f>+('BALANCES GENERAL 2018-2022'!G27-'BALANCES GENERAL 2018-2022'!F27)/'BALANCES GENERAL 2018-2022'!F27</f>
        <v>0.1510242562172964</v>
      </c>
      <c r="E31" s="82">
        <f>+('BALANCES GENERAL 2018-2022'!H27-'BALANCES GENERAL 2018-2022'!G27)/'BALANCES GENERAL 2018-2022'!G27</f>
        <v>-2.5632532897229717E-2</v>
      </c>
      <c r="F31" s="82">
        <f>+('BALANCES GENERAL 2018-2022'!I27-'BALANCES GENERAL 2018-2022'!H27)/'BALANCES GENERAL 2018-2022'!H27</f>
        <v>0.49033147438394153</v>
      </c>
      <c r="G31" s="83">
        <f t="shared" si="3"/>
        <v>0.17336671658024555</v>
      </c>
      <c r="H31" s="84">
        <f>+'BALANCES GENERAL 2018-2022'!I27*(1+'ANALISIS HORIZONTAL BG'!G31)</f>
        <v>4107054339.4557023</v>
      </c>
      <c r="I31" s="85">
        <f t="shared" si="4"/>
        <v>4819080865.1037865</v>
      </c>
    </row>
    <row r="32" spans="2:9" x14ac:dyDescent="0.25">
      <c r="B32" s="65" t="s">
        <v>80</v>
      </c>
      <c r="C32" s="82">
        <f>+('BALANCES GENERAL 2018-2022'!F28-'BALANCES GENERAL 2018-2022'!E28)/'BALANCES GENERAL 2018-2022'!E28</f>
        <v>-4.0132549540056094E-2</v>
      </c>
      <c r="D32" s="82">
        <f>+('BALANCES GENERAL 2018-2022'!G28-'BALANCES GENERAL 2018-2022'!F28)/'BALANCES GENERAL 2018-2022'!F28</f>
        <v>-5.784043088318782E-2</v>
      </c>
      <c r="E32" s="82">
        <f>+('BALANCES GENERAL 2018-2022'!H28-'BALANCES GENERAL 2018-2022'!G28)/'BALANCES GENERAL 2018-2022'!G28</f>
        <v>-4.3392395159026251E-2</v>
      </c>
      <c r="F32" s="82">
        <f>+('BALANCES GENERAL 2018-2022'!I28-'BALANCES GENERAL 2018-2022'!H28)/'BALANCES GENERAL 2018-2022'!H28</f>
        <v>-1.392872807314016E-2</v>
      </c>
      <c r="G32" s="83">
        <f>AVERAGE(C32:F32)</f>
        <v>-3.8823525913852582E-2</v>
      </c>
      <c r="H32" s="84">
        <f>+'BALANCES GENERAL 2018-2022'!I28*(1+'ANALISIS HORIZONTAL BG'!G32)</f>
        <v>1789135469.0380781</v>
      </c>
      <c r="I32" s="85">
        <f t="shared" si="4"/>
        <v>1719674921.7924855</v>
      </c>
    </row>
    <row r="33" spans="2:9" x14ac:dyDescent="0.25">
      <c r="B33" s="65" t="s">
        <v>81</v>
      </c>
      <c r="C33" s="82">
        <f>+('BALANCES GENERAL 2018-2022'!F29-'BALANCES GENERAL 2018-2022'!E29)/'BALANCES GENERAL 2018-2022'!E29</f>
        <v>9.0343263529584321E-3</v>
      </c>
      <c r="D33" s="82">
        <f>+('BALANCES GENERAL 2018-2022'!G29-'BALANCES GENERAL 2018-2022'!F29)/'BALANCES GENERAL 2018-2022'!F29</f>
        <v>0.24875644943147529</v>
      </c>
      <c r="E33" s="82">
        <f>+('BALANCES GENERAL 2018-2022'!H29-'BALANCES GENERAL 2018-2022'!G29)/'BALANCES GENERAL 2018-2022'!G29</f>
        <v>0</v>
      </c>
      <c r="F33" s="82">
        <f>+('BALANCES GENERAL 2018-2022'!I29-'BALANCES GENERAL 2018-2022'!H29)/'BALANCES GENERAL 2018-2022'!H29</f>
        <v>0</v>
      </c>
      <c r="G33" s="83">
        <f t="shared" ref="G33" si="5">AVERAGE(C33:F33)</f>
        <v>6.4447693946108428E-2</v>
      </c>
      <c r="H33" s="84">
        <f>+'BALANCES GENERAL 2018-2022'!I29*(1+'ANALISIS HORIZONTAL BG'!G33)</f>
        <v>6510012662.6204376</v>
      </c>
      <c r="I33" s="85">
        <f t="shared" si="4"/>
        <v>6929567966.2862902</v>
      </c>
    </row>
    <row r="34" spans="2:9" ht="15.6" x14ac:dyDescent="0.3">
      <c r="H34" s="90">
        <f>SUM(H25:H33)</f>
        <v>23501124070.20108</v>
      </c>
      <c r="I34" s="96">
        <f>SUM(I25:I33)</f>
        <v>24021721704.347641</v>
      </c>
    </row>
    <row r="35" spans="2:9" ht="15.6" x14ac:dyDescent="0.3">
      <c r="B35" s="55" t="s">
        <v>4</v>
      </c>
      <c r="C35" s="93">
        <f>+('BALANCES GENERAL 2018-2022'!F31-'BALANCES GENERAL 2018-2022'!E31)/'BALANCES GENERAL 2018-2022'!E31</f>
        <v>-2.0901905362714194E-2</v>
      </c>
      <c r="D35" s="93">
        <f>+('BALANCES GENERAL 2018-2022'!G31-'BALANCES GENERAL 2018-2022'!F31)/'BALANCES GENERAL 2018-2022'!F31</f>
        <v>1.6519024976098806E-2</v>
      </c>
      <c r="E35" s="93">
        <f>+('BALANCES GENERAL 2018-2022'!H31-'BALANCES GENERAL 2018-2022'!G31)/'BALANCES GENERAL 2018-2022'!G31</f>
        <v>-2.3557995693192071E-2</v>
      </c>
      <c r="F35" s="93">
        <f>+('BALANCES GENERAL 2018-2022'!I31-'BALANCES GENERAL 2018-2022'!H31)/'BALANCES GENERAL 2018-2022'!H31</f>
        <v>1.8923241824954508E-2</v>
      </c>
    </row>
    <row r="36" spans="2:9" x14ac:dyDescent="0.3">
      <c r="C36" s="94"/>
      <c r="D36" s="94"/>
      <c r="E36" s="94"/>
      <c r="F36" s="94"/>
    </row>
    <row r="37" spans="2:9" ht="15.6" x14ac:dyDescent="0.3">
      <c r="B37" s="55" t="s">
        <v>3</v>
      </c>
      <c r="C37" s="93"/>
      <c r="D37" s="93"/>
      <c r="E37" s="93"/>
      <c r="F37" s="93"/>
      <c r="H37" s="97">
        <f>H18+H34</f>
        <v>107421795719.32188</v>
      </c>
      <c r="I37" s="97">
        <f>I18+I34</f>
        <v>199086538652.42474</v>
      </c>
    </row>
    <row r="39" spans="2:9" ht="15.6" x14ac:dyDescent="0.3">
      <c r="B39" s="55" t="s">
        <v>8</v>
      </c>
    </row>
    <row r="41" spans="2:9" ht="15.6" x14ac:dyDescent="0.3">
      <c r="B41" s="55" t="s">
        <v>9</v>
      </c>
    </row>
    <row r="43" spans="2:9" x14ac:dyDescent="0.25">
      <c r="B43" s="86" t="s">
        <v>83</v>
      </c>
      <c r="C43" s="82">
        <v>0</v>
      </c>
      <c r="D43" s="82">
        <v>0</v>
      </c>
      <c r="E43" s="82">
        <v>0</v>
      </c>
      <c r="F43" s="82">
        <v>0</v>
      </c>
      <c r="G43" s="83">
        <f>AVERAGE(C43:F43)</f>
        <v>0</v>
      </c>
      <c r="H43" s="84">
        <f>+'BALANCES GENERAL 2018-2022'!I40*(1+'ANALISIS HORIZONTAL BG'!G43)</f>
        <v>0</v>
      </c>
      <c r="I43" s="85">
        <f>+H43*(1+G43)</f>
        <v>0</v>
      </c>
    </row>
    <row r="44" spans="2:9" x14ac:dyDescent="0.25">
      <c r="B44" s="86" t="s">
        <v>11</v>
      </c>
      <c r="C44" s="82">
        <v>0</v>
      </c>
      <c r="D44" s="82">
        <v>0</v>
      </c>
      <c r="E44" s="82">
        <v>0</v>
      </c>
      <c r="F44" s="82">
        <v>0</v>
      </c>
      <c r="G44" s="83">
        <f t="shared" ref="G44:G47" si="6">AVERAGE(C44:F44)</f>
        <v>0</v>
      </c>
      <c r="H44" s="84">
        <f>+'BALANCES GENERAL 2018-2022'!I41*(1+'ANALISIS HORIZONTAL BG'!G44)</f>
        <v>0</v>
      </c>
      <c r="I44" s="85">
        <f t="shared" ref="I44" si="7">+H44*(1+G44)</f>
        <v>0</v>
      </c>
    </row>
    <row r="45" spans="2:9" x14ac:dyDescent="0.25">
      <c r="B45" s="86" t="s">
        <v>26</v>
      </c>
      <c r="C45" s="82">
        <f>+('BALANCES GENERAL 2018-2022'!F45-'BALANCES GENERAL 2018-2022'!E45)/'BALANCES GENERAL 2018-2022'!E45</f>
        <v>-0.61046182497681056</v>
      </c>
      <c r="D45" s="82">
        <f>+('BALANCES GENERAL 2018-2022'!G45-'BALANCES GENERAL 2018-2022'!F45)/'BALANCES GENERAL 2018-2022'!F45</f>
        <v>7.0370379525115911</v>
      </c>
      <c r="E45" s="82">
        <f>+('BALANCES GENERAL 2018-2022'!H45-'BALANCES GENERAL 2018-2022'!G45)/'BALANCES GENERAL 2018-2022'!G45</f>
        <v>-0.74803469190533123</v>
      </c>
      <c r="F45" s="82">
        <f>+('BALANCES GENERAL 2018-2022'!I45-'BALANCES GENERAL 2018-2022'!H45)/'BALANCES GENERAL 2018-2022'!H45</f>
        <v>5.4107660756693904E-2</v>
      </c>
      <c r="G45" s="83">
        <f>AVERAGE(C45:F45)</f>
        <v>1.433162274096536</v>
      </c>
      <c r="H45" s="84">
        <f>+'BALANCES GENERAL 2018-2022'!I45*(1+'ANALISIS HORIZONTAL BG'!G45)</f>
        <v>482452603.20982951</v>
      </c>
      <c r="I45" s="85">
        <f>+H45*(1+G45)</f>
        <v>1173885473.1698225</v>
      </c>
    </row>
    <row r="46" spans="2:9" x14ac:dyDescent="0.25">
      <c r="B46" s="86" t="s">
        <v>84</v>
      </c>
      <c r="C46" s="82">
        <f>+('BALANCES GENERAL 2018-2022'!F46-'BALANCES GENERAL 2018-2022'!E46)/'BALANCES GENERAL 2018-2022'!E46</f>
        <v>-0.65834723860814814</v>
      </c>
      <c r="D46" s="82">
        <f>+('BALANCES GENERAL 2018-2022'!G46-'BALANCES GENERAL 2018-2022'!F46)/'BALANCES GENERAL 2018-2022'!F46</f>
        <v>0.86111306459241332</v>
      </c>
      <c r="E46" s="82">
        <f>+('BALANCES GENERAL 2018-2022'!H46-'BALANCES GENERAL 2018-2022'!G46)/'BALANCES GENERAL 2018-2022'!G46</f>
        <v>-0.24520921087591677</v>
      </c>
      <c r="F46" s="82">
        <f>+('BALANCES GENERAL 2018-2022'!I46-'BALANCES GENERAL 2018-2022'!H46)/'BALANCES GENERAL 2018-2022'!H46</f>
        <v>17.864893737354787</v>
      </c>
      <c r="G46" s="83">
        <f t="shared" si="6"/>
        <v>4.455612588115784</v>
      </c>
      <c r="H46" s="84">
        <f>+'BALANCES GENERAL 2018-2022'!I46*(1+'ANALISIS HORIZONTAL BG'!G46)</f>
        <v>47008422255.814354</v>
      </c>
      <c r="I46" s="85">
        <f t="shared" ref="I46:I49" si="8">+H46*(1+G46)</f>
        <v>256459740206.28296</v>
      </c>
    </row>
    <row r="47" spans="2:9" x14ac:dyDescent="0.25">
      <c r="B47" s="86" t="s">
        <v>85</v>
      </c>
      <c r="C47" s="82">
        <f>+('BALANCES GENERAL 2018-2022'!F47-'BALANCES GENERAL 2018-2022'!E47)/'BALANCES GENERAL 2018-2022'!E47</f>
        <v>-0.40944738957019722</v>
      </c>
      <c r="D47" s="82">
        <f>+('BALANCES GENERAL 2018-2022'!G47-'BALANCES GENERAL 2018-2022'!F47)/'BALANCES GENERAL 2018-2022'!F47</f>
        <v>3.1611695201444481</v>
      </c>
      <c r="E47" s="82">
        <f>+('BALANCES GENERAL 2018-2022'!H47-'BALANCES GENERAL 2018-2022'!G47)/'BALANCES GENERAL 2018-2022'!G47</f>
        <v>4.2760471237206978</v>
      </c>
      <c r="F47" s="82">
        <f>+('BALANCES GENERAL 2018-2022'!I47-'BALANCES GENERAL 2018-2022'!H47)/'BALANCES GENERAL 2018-2022'!H47</f>
        <v>-0.54973605722022156</v>
      </c>
      <c r="G47" s="83">
        <f t="shared" si="6"/>
        <v>1.6195082992686818</v>
      </c>
      <c r="H47" s="84">
        <f>+'BALANCES GENERAL 2018-2022'!I47*(1+'ANALISIS HORIZONTAL BG'!G47)</f>
        <v>5560210841.1254339</v>
      </c>
      <c r="I47" s="85">
        <f t="shared" si="8"/>
        <v>14565018444.01177</v>
      </c>
    </row>
    <row r="48" spans="2:9" x14ac:dyDescent="0.25">
      <c r="B48" s="86" t="s">
        <v>86</v>
      </c>
      <c r="C48" s="82">
        <f>+('BALANCES GENERAL 2018-2022'!F48-'BALANCES GENERAL 2018-2022'!E48)/'BALANCES GENERAL 2018-2022'!E48</f>
        <v>-0.37183501089613019</v>
      </c>
      <c r="D48" s="82">
        <f>+('BALANCES GENERAL 2018-2022'!G48-'BALANCES GENERAL 2018-2022'!F48)/'BALANCES GENERAL 2018-2022'!F48</f>
        <v>-6.8391590877429076</v>
      </c>
      <c r="E48" s="82">
        <f>+('BALANCES GENERAL 2018-2022'!H48-'BALANCES GENERAL 2018-2022'!G48)/'BALANCES GENERAL 2018-2022'!G48</f>
        <v>-1.6065305651142121</v>
      </c>
      <c r="F48" s="82">
        <f>+('BALANCES GENERAL 2018-2022'!I48-'BALANCES GENERAL 2018-2022'!H48)/'BALANCES GENERAL 2018-2022'!H48</f>
        <v>0.58287906389986588</v>
      </c>
      <c r="G48" s="83">
        <f>AVERAGE(C48:F48)</f>
        <v>-2.0586613999633463</v>
      </c>
      <c r="H48" s="84">
        <f>+'BALANCES GENERAL 2018-2022'!I48*(1+'ANALISIS HORIZONTAL BG'!G48)</f>
        <v>242058509.1902743</v>
      </c>
      <c r="I48" s="85">
        <f t="shared" si="8"/>
        <v>-256258000.21241632</v>
      </c>
    </row>
    <row r="49" spans="2:9" x14ac:dyDescent="0.25">
      <c r="B49" s="86" t="s">
        <v>87</v>
      </c>
      <c r="C49" s="82">
        <f>+('BALANCES GENERAL 2018-2022'!F49-'BALANCES GENERAL 2018-2022'!E49)/'BALANCES GENERAL 2018-2022'!E49</f>
        <v>-0.3028476681197052</v>
      </c>
      <c r="D49" s="82">
        <f>+('BALANCES GENERAL 2018-2022'!G49-'BALANCES GENERAL 2018-2022'!F49)/'BALANCES GENERAL 2018-2022'!F49</f>
        <v>0.72912872402909024</v>
      </c>
      <c r="E49" s="82">
        <f>+('BALANCES GENERAL 2018-2022'!H49-'BALANCES GENERAL 2018-2022'!G49)/'BALANCES GENERAL 2018-2022'!G49</f>
        <v>0.56967768859392298</v>
      </c>
      <c r="F49" s="82">
        <f>+('BALANCES GENERAL 2018-2022'!I49-'BALANCES GENERAL 2018-2022'!H49)/'BALANCES GENERAL 2018-2022'!H49</f>
        <v>0.57264320593694673</v>
      </c>
      <c r="G49" s="83">
        <f t="shared" ref="G49" si="9">AVERAGE(C49:F49)</f>
        <v>0.39215048761006366</v>
      </c>
      <c r="H49" s="84">
        <f>+'BALANCES GENERAL 2018-2022'!I49*(1+'ANALISIS HORIZONTAL BG'!G49)</f>
        <v>721762185.5482558</v>
      </c>
      <c r="I49" s="85">
        <f t="shared" si="8"/>
        <v>1004801578.5495095</v>
      </c>
    </row>
    <row r="50" spans="2:9" ht="15.6" x14ac:dyDescent="0.3">
      <c r="H50" s="90">
        <f>SUM(H43:H49)</f>
        <v>54014906394.888153</v>
      </c>
      <c r="I50" s="96">
        <f>SUM(I43:I49)</f>
        <v>272947187701.80167</v>
      </c>
    </row>
    <row r="51" spans="2:9" ht="15.6" x14ac:dyDescent="0.3">
      <c r="B51" s="55" t="s">
        <v>12</v>
      </c>
      <c r="C51" s="93"/>
      <c r="D51" s="93"/>
      <c r="E51" s="93"/>
      <c r="F51" s="93"/>
      <c r="H51" s="97"/>
    </row>
    <row r="53" spans="2:9" ht="15.6" x14ac:dyDescent="0.3">
      <c r="B53" s="55" t="s">
        <v>13</v>
      </c>
    </row>
    <row r="55" spans="2:9" x14ac:dyDescent="0.25">
      <c r="B55" s="86" t="s">
        <v>88</v>
      </c>
      <c r="C55" s="82">
        <v>0</v>
      </c>
      <c r="D55" s="82">
        <v>0</v>
      </c>
      <c r="E55" s="82">
        <v>0</v>
      </c>
      <c r="F55" s="82">
        <v>0</v>
      </c>
      <c r="G55" s="83">
        <f>AVERAGE(C55:F55)</f>
        <v>0</v>
      </c>
      <c r="H55" s="84">
        <f>+'BALANCES GENERAL 2018-2022'!I52*(1+'ANALISIS HORIZONTAL BG'!G55)</f>
        <v>0</v>
      </c>
      <c r="I55" s="85">
        <f>+H55*(1+G55)</f>
        <v>0</v>
      </c>
    </row>
    <row r="56" spans="2:9" x14ac:dyDescent="0.25">
      <c r="B56" s="86" t="s">
        <v>89</v>
      </c>
      <c r="C56" s="82">
        <v>0</v>
      </c>
      <c r="D56" s="82">
        <v>0</v>
      </c>
      <c r="E56" s="82">
        <v>0</v>
      </c>
      <c r="F56" s="82">
        <v>0</v>
      </c>
      <c r="G56" s="83">
        <f t="shared" ref="G56:G59" si="10">AVERAGE(C56:F56)</f>
        <v>0</v>
      </c>
      <c r="H56" s="84">
        <f>+'BALANCES GENERAL 2018-2022'!I53*(+'ANALISIS HORIZONTAL BG'!G56)</f>
        <v>0</v>
      </c>
      <c r="I56" s="85">
        <f t="shared" ref="I56:I58" si="11">+H56*(1+G56)</f>
        <v>0</v>
      </c>
    </row>
    <row r="57" spans="2:9" x14ac:dyDescent="0.25">
      <c r="B57" s="86" t="s">
        <v>90</v>
      </c>
      <c r="C57" s="82">
        <v>0</v>
      </c>
      <c r="D57" s="82">
        <v>0</v>
      </c>
      <c r="E57" s="82">
        <v>0</v>
      </c>
      <c r="F57" s="82">
        <v>0</v>
      </c>
      <c r="G57" s="83">
        <f>AVERAGE(C57:F57)</f>
        <v>0</v>
      </c>
      <c r="H57" s="84">
        <f>+'BALANCES GENERAL 2018-2022'!I57*(1+'ANALISIS HORIZONTAL BG'!G57)</f>
        <v>5928263260</v>
      </c>
      <c r="I57" s="85">
        <f>+H57*(1+G57)</f>
        <v>5928263260</v>
      </c>
    </row>
    <row r="58" spans="2:9" x14ac:dyDescent="0.25">
      <c r="B58" s="86" t="s">
        <v>91</v>
      </c>
      <c r="C58" s="82">
        <v>0</v>
      </c>
      <c r="D58" s="82">
        <v>0</v>
      </c>
      <c r="E58" s="82">
        <v>0</v>
      </c>
      <c r="F58" s="82">
        <v>0</v>
      </c>
      <c r="G58" s="83">
        <f t="shared" si="10"/>
        <v>0</v>
      </c>
      <c r="H58" s="84">
        <f>+'BALANCES GENERAL 2018-2022'!I55*(+'ANALISIS HORIZONTAL BG'!G58)</f>
        <v>0</v>
      </c>
      <c r="I58" s="85">
        <f t="shared" si="11"/>
        <v>0</v>
      </c>
    </row>
    <row r="59" spans="2:9" x14ac:dyDescent="0.25">
      <c r="B59" s="86" t="s">
        <v>92</v>
      </c>
      <c r="C59" s="82">
        <f>+('BALANCES GENERAL 2018-2022'!F59-'BALANCES GENERAL 2018-2022'!E59)/'BALANCES GENERAL 2018-2022'!E59</f>
        <v>3.9349141135207359</v>
      </c>
      <c r="D59" s="82">
        <f>+('BALANCES GENERAL 2018-2022'!G59-'BALANCES GENERAL 2018-2022'!F59)/'BALANCES GENERAL 2018-2022'!F59</f>
        <v>0.27098360838555979</v>
      </c>
      <c r="E59" s="82">
        <f>+('BALANCES GENERAL 2018-2022'!H59-'BALANCES GENERAL 2018-2022'!G59)/'BALANCES GENERAL 2018-2022'!G59</f>
        <v>0</v>
      </c>
      <c r="F59" s="82">
        <f>+('BALANCES GENERAL 2018-2022'!I59-'BALANCES GENERAL 2018-2022'!H59)/'BALANCES GENERAL 2018-2022'!H59</f>
        <v>-3.2008605947052689E-2</v>
      </c>
      <c r="G59" s="83">
        <f t="shared" si="10"/>
        <v>1.0434722789898108</v>
      </c>
      <c r="H59" s="84">
        <f>+'BALANCES GENERAL 2018-2022'!I59*(1+'ANALISIS HORIZONTAL BG'!G59)</f>
        <v>1262914253.7523251</v>
      </c>
      <c r="I59" s="85">
        <f>+H59*(1+G59)</f>
        <v>2580730268.2839799</v>
      </c>
    </row>
    <row r="60" spans="2:9" ht="15.6" x14ac:dyDescent="0.3">
      <c r="H60" s="98">
        <f>SUM(H55:H59)</f>
        <v>7191177513.7523251</v>
      </c>
      <c r="I60" s="98">
        <f>SUM(I55:I59)</f>
        <v>8508993528.2839794</v>
      </c>
    </row>
    <row r="61" spans="2:9" ht="15.6" x14ac:dyDescent="0.3">
      <c r="B61" s="55" t="s">
        <v>14</v>
      </c>
      <c r="C61" s="93"/>
      <c r="D61" s="93"/>
      <c r="E61" s="93"/>
      <c r="F61" s="93"/>
    </row>
    <row r="63" spans="2:9" ht="15.6" x14ac:dyDescent="0.3">
      <c r="B63" s="55" t="s">
        <v>15</v>
      </c>
      <c r="C63" s="93"/>
      <c r="D63" s="93"/>
      <c r="E63" s="93"/>
      <c r="F63" s="93"/>
      <c r="H63" s="99">
        <f>H50+H60</f>
        <v>61206083908.64048</v>
      </c>
      <c r="I63" s="100">
        <f>I50+I60</f>
        <v>281456181230.08563</v>
      </c>
    </row>
    <row r="65" spans="2:9" ht="15.6" x14ac:dyDescent="0.3">
      <c r="B65" s="55" t="s">
        <v>18</v>
      </c>
    </row>
    <row r="67" spans="2:9" x14ac:dyDescent="0.25">
      <c r="B67" s="86" t="s">
        <v>17</v>
      </c>
      <c r="C67" s="82">
        <f>+('BALANCES GENERAL 2018-2022'!F67-'BALANCES GENERAL 2018-2022'!E67)/'BALANCES GENERAL 2018-2022'!E67</f>
        <v>0</v>
      </c>
      <c r="D67" s="82">
        <f>+('BALANCES GENERAL 2018-2022'!G67-'BALANCES GENERAL 2018-2022'!F67)/'BALANCES GENERAL 2018-2022'!F67</f>
        <v>0</v>
      </c>
      <c r="E67" s="82">
        <f>+('BALANCES GENERAL 2018-2022'!H67-'BALANCES GENERAL 2018-2022'!G67)/'BALANCES GENERAL 2018-2022'!G67</f>
        <v>0</v>
      </c>
      <c r="F67" s="82">
        <f>+('BALANCES GENERAL 2018-2022'!I67-'BALANCES GENERAL 2018-2022'!H67)/'BALANCES GENERAL 2018-2022'!H67</f>
        <v>0</v>
      </c>
      <c r="G67" s="83">
        <f>AVERAGE(C67:F67)</f>
        <v>0</v>
      </c>
      <c r="H67" s="84">
        <f>+'BALANCES GENERAL 2018-2022'!I67*(1+'ANALISIS HORIZONTAL BG'!G67)</f>
        <v>25394200000</v>
      </c>
      <c r="I67" s="85">
        <f>+H67*(1+G67)</f>
        <v>25394200000</v>
      </c>
    </row>
    <row r="68" spans="2:9" x14ac:dyDescent="0.25">
      <c r="B68" s="86" t="s">
        <v>93</v>
      </c>
      <c r="C68" s="82">
        <v>0</v>
      </c>
      <c r="D68" s="82">
        <f>+('BALANCES GENERAL 2018-2022'!G68-'BALANCES GENERAL 2018-2022'!F68)/'BALANCES GENERAL 2018-2022'!F68</f>
        <v>0.90912782832979355</v>
      </c>
      <c r="E68" s="82">
        <f>+('BALANCES GENERAL 2018-2022'!H68-'BALANCES GENERAL 2018-2022'!G68)/'BALANCES GENERAL 2018-2022'!G68</f>
        <v>-1.1132449710954402</v>
      </c>
      <c r="F68" s="82">
        <f>+('BALANCES GENERAL 2018-2022'!I68-'BALANCES GENERAL 2018-2022'!H68)/'BALANCES GENERAL 2018-2022'!H68</f>
        <v>4.25992008455564</v>
      </c>
      <c r="G68" s="83">
        <f t="shared" ref="G68:G71" si="12">AVERAGE(C68:F68)</f>
        <v>1.0139507354474984</v>
      </c>
      <c r="H68" s="84">
        <f>+'BALANCES GENERAL 2018-2022'!I68*(1+'ANALISIS HORIZONTAL BG'!G68)</f>
        <v>785371907.69542134</v>
      </c>
      <c r="I68" s="85">
        <f>+H68*(1+G68)</f>
        <v>1581700331.1029985</v>
      </c>
    </row>
    <row r="69" spans="2:9" x14ac:dyDescent="0.25">
      <c r="B69" s="86" t="s">
        <v>94</v>
      </c>
      <c r="C69" s="82">
        <v>0</v>
      </c>
      <c r="D69" s="82">
        <v>0</v>
      </c>
      <c r="E69" s="82">
        <f>+('BALANCES GENERAL 2018-2022'!H68-'BALANCES GENERAL 2018-2022'!G68)/'BALANCES GENERAL 2018-2022'!G68</f>
        <v>-1.1132449710954402</v>
      </c>
      <c r="F69" s="82">
        <v>0</v>
      </c>
      <c r="G69" s="83">
        <f t="shared" si="12"/>
        <v>-0.27831124277386005</v>
      </c>
      <c r="H69" s="84">
        <f>+'BALANCES GENERAL 2018-2022'!I69*(1+'ANALISIS HORIZONTAL BG'!G69)</f>
        <v>0</v>
      </c>
      <c r="I69" s="85"/>
    </row>
    <row r="70" spans="2:9" x14ac:dyDescent="0.25">
      <c r="B70" s="86" t="s">
        <v>95</v>
      </c>
      <c r="C70" s="82">
        <f>+('BALANCES GENERAL 2018-2022'!F70-'BALANCES GENERAL 2018-2022'!E70)/'BALANCES GENERAL 2018-2022'!E70</f>
        <v>-1.2249222905663184</v>
      </c>
      <c r="D70" s="82">
        <f>+('BALANCES GENERAL 2018-2022'!G70-'BALANCES GENERAL 2018-2022'!F70)/'BALANCES GENERAL 2018-2022'!F70</f>
        <v>-5.9970912956793043</v>
      </c>
      <c r="E70" s="82">
        <f>+('BALANCES GENERAL 2018-2022'!H70-'BALANCES GENERAL 2018-2022'!G70)/'BALANCES GENERAL 2018-2022'!G70</f>
        <v>3.0633089999386378</v>
      </c>
      <c r="F70" s="82">
        <f>+('BALANCES GENERAL 2018-2022'!I70-'BALANCES GENERAL 2018-2022'!H70)/'BALANCES GENERAL 2018-2022'!H70</f>
        <v>0.918552803727676</v>
      </c>
      <c r="G70" s="83">
        <f t="shared" si="12"/>
        <v>-0.81003794564482734</v>
      </c>
      <c r="H70" s="84">
        <f>+'BALANCES GENERAL 2018-2022'!I70*(1+'ANALISIS HORIZONTAL BG'!G70)</f>
        <v>2943535508.0363283</v>
      </c>
      <c r="I70" s="85">
        <f>+H70*(1+G70)</f>
        <v>559160052.17397773</v>
      </c>
    </row>
    <row r="71" spans="2:9" x14ac:dyDescent="0.25">
      <c r="B71" s="86" t="s">
        <v>96</v>
      </c>
      <c r="C71" s="82">
        <f>+('BALANCES GENERAL 2018-2022'!F71-'BALANCES GENERAL 2018-2022'!E71)/'BALANCES GENERAL 2018-2022'!E71</f>
        <v>-9.1869106241131815E-2</v>
      </c>
      <c r="D71" s="82">
        <f>+('BALANCES GENERAL 2018-2022'!G71-'BALANCES GENERAL 2018-2022'!F71)/'BALANCES GENERAL 2018-2022'!F71</f>
        <v>0</v>
      </c>
      <c r="E71" s="82">
        <f>+('BALANCES GENERAL 2018-2022'!H71-'BALANCES GENERAL 2018-2022'!G71)/'BALANCES GENERAL 2018-2022'!G71</f>
        <v>0.3938595355650461</v>
      </c>
      <c r="F71" s="82">
        <f>+('BALANCES GENERAL 2018-2022'!I71-'BALANCES GENERAL 2018-2022'!H71)/'BALANCES GENERAL 2018-2022'!H71</f>
        <v>0</v>
      </c>
      <c r="G71" s="83">
        <f t="shared" si="12"/>
        <v>7.5497607330978572E-2</v>
      </c>
      <c r="H71" s="84">
        <f>+'BALANCES GENERAL 2018-2022'!I71*(1+'ANALISIS HORIZONTAL BG'!G71)</f>
        <v>6607706314.634429</v>
      </c>
      <c r="I71" s="85">
        <f>+H71*(1+G71)</f>
        <v>7106572331.3351269</v>
      </c>
    </row>
    <row r="72" spans="2:9" ht="15.6" x14ac:dyDescent="0.3">
      <c r="H72" s="101">
        <f>SUM(H67:H71)</f>
        <v>35730813730.36618</v>
      </c>
      <c r="I72" s="96">
        <f>SUM(I70:I71)</f>
        <v>7665732383.5091047</v>
      </c>
    </row>
    <row r="73" spans="2:9" ht="15.6" x14ac:dyDescent="0.3">
      <c r="B73" s="55" t="s">
        <v>16</v>
      </c>
      <c r="C73" s="93"/>
      <c r="D73" s="93"/>
      <c r="E73" s="93"/>
      <c r="F73" s="93"/>
    </row>
    <row r="75" spans="2:9" x14ac:dyDescent="0.3">
      <c r="B75" s="102" t="s">
        <v>17</v>
      </c>
      <c r="C75" s="82">
        <f>+('BALANCES GENERAL 2018-2022'!F75-'BALANCES GENERAL 2018-2022'!E75)/'BALANCES GENERAL 2018-2022'!E75</f>
        <v>-9.2298722699569E-2</v>
      </c>
      <c r="D75" s="82">
        <f>+('BALANCES GENERAL 2018-2022'!G75-'BALANCES GENERAL 2018-2022'!F75)/'BALANCES GENERAL 2018-2022'!F75</f>
        <v>7.1356089682224871E-2</v>
      </c>
      <c r="E75" s="82">
        <f>+('BALANCES GENERAL 2018-2022'!H75-'BALANCES GENERAL 2018-2022'!G75)/'BALANCES GENERAL 2018-2022'!G75</f>
        <v>0.27513580743366967</v>
      </c>
      <c r="F75" s="82">
        <f>+('BALANCES GENERAL 2018-2022'!I75-'BALANCES GENERAL 2018-2022'!H75)/'BALANCES GENERAL 2018-2022'!H75</f>
        <v>0.19450306659369063</v>
      </c>
      <c r="G75" s="83">
        <f>AVERAGE(C75:F75)</f>
        <v>0.11217406025250404</v>
      </c>
      <c r="H75" s="84">
        <f>+'BALANCES GENERAL 2018-2022'!I75*(1+'ANALISIS HORIZONTAL BG'!G75)</f>
        <v>52743088903.063011</v>
      </c>
      <c r="I75" s="85">
        <f>+H75*(1+G75)</f>
        <v>58659495335.578384</v>
      </c>
    </row>
    <row r="77" spans="2:9" ht="15.6" x14ac:dyDescent="0.3">
      <c r="B77" s="55" t="s">
        <v>19</v>
      </c>
      <c r="C77" s="93"/>
      <c r="D77" s="93"/>
      <c r="E77" s="93"/>
      <c r="F77" s="93"/>
      <c r="H77" s="99">
        <f>H75</f>
        <v>52743088903.063011</v>
      </c>
      <c r="I77" s="99">
        <f>I75</f>
        <v>58659495335.578384</v>
      </c>
    </row>
  </sheetData>
  <mergeCells count="2">
    <mergeCell ref="B1:F1"/>
    <mergeCell ref="H1:I1"/>
  </mergeCells>
  <phoneticPr fontId="18" type="noConversion"/>
  <pageMargins left="0.7" right="0.7" top="0.75" bottom="0.75" header="0.3" footer="0.3"/>
  <pageSetup orientation="portrait" r:id="rId1"/>
  <ignoredErrors>
    <ignoredError sqref="I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9900"/>
  </sheetPr>
  <dimension ref="A1:I68"/>
  <sheetViews>
    <sheetView showGridLines="0" topLeftCell="C9" zoomScale="90" zoomScaleNormal="90" workbookViewId="0">
      <selection activeCell="I6" sqref="I6"/>
    </sheetView>
  </sheetViews>
  <sheetFormatPr baseColWidth="10" defaultColWidth="11.44140625" defaultRowHeight="15" x14ac:dyDescent="0.3"/>
  <cols>
    <col min="1" max="1" width="12.5546875" style="2" customWidth="1"/>
    <col min="2" max="2" width="40.33203125" style="59" customWidth="1"/>
    <col min="3" max="3" width="11" style="59" bestFit="1" customWidth="1"/>
    <col min="4" max="4" width="10" style="59" bestFit="1" customWidth="1"/>
    <col min="5" max="5" width="11.5546875" style="59" bestFit="1" customWidth="1"/>
    <col min="6" max="6" width="15" style="59" customWidth="1"/>
    <col min="7" max="7" width="13.109375" style="59" customWidth="1"/>
    <col min="8" max="8" width="23.33203125" style="59" customWidth="1"/>
    <col min="9" max="9" width="23" style="111" customWidth="1"/>
    <col min="10" max="16384" width="11.44140625" style="2"/>
  </cols>
  <sheetData>
    <row r="1" spans="1:9" ht="24" customHeight="1" thickBot="1" x14ac:dyDescent="0.35">
      <c r="B1" s="119" t="s">
        <v>38</v>
      </c>
      <c r="C1" s="120"/>
      <c r="D1" s="120"/>
      <c r="E1" s="120"/>
      <c r="F1" s="120"/>
      <c r="H1" s="121" t="s">
        <v>119</v>
      </c>
      <c r="I1" s="121"/>
    </row>
    <row r="2" spans="1:9" x14ac:dyDescent="0.3">
      <c r="B2" s="59" t="s">
        <v>28</v>
      </c>
    </row>
    <row r="3" spans="1:9" ht="15.6" x14ac:dyDescent="0.3">
      <c r="B3" s="53"/>
      <c r="C3" s="54" t="s">
        <v>102</v>
      </c>
      <c r="D3" s="54" t="s">
        <v>103</v>
      </c>
      <c r="E3" s="54" t="s">
        <v>104</v>
      </c>
      <c r="F3" s="54" t="s">
        <v>105</v>
      </c>
      <c r="G3" s="103" t="s">
        <v>66</v>
      </c>
      <c r="H3" s="79">
        <v>2023</v>
      </c>
      <c r="I3" s="112">
        <v>2024</v>
      </c>
    </row>
    <row r="4" spans="1:9" x14ac:dyDescent="0.3">
      <c r="B4" s="104"/>
      <c r="C4" s="104"/>
      <c r="D4" s="104"/>
      <c r="E4" s="104"/>
      <c r="F4" s="104"/>
      <c r="G4" s="80"/>
      <c r="H4" s="80"/>
      <c r="I4" s="113"/>
    </row>
    <row r="5" spans="1:9" ht="15.6" x14ac:dyDescent="0.3">
      <c r="B5" s="55" t="s">
        <v>23</v>
      </c>
      <c r="C5" s="104"/>
      <c r="D5" s="104"/>
      <c r="E5" s="104"/>
      <c r="F5" s="104"/>
      <c r="G5" s="80"/>
      <c r="H5" s="80"/>
      <c r="I5" s="113"/>
    </row>
    <row r="6" spans="1:9" x14ac:dyDescent="0.25">
      <c r="B6" s="56" t="s">
        <v>97</v>
      </c>
      <c r="C6" s="82">
        <f>+('ESTADO DE RESULTADOS 2018-2022'!F5-'ESTADO DE RESULTADOS 2018-2022'!E5)/'ESTADO DE RESULTADOS 2018-2022'!E5</f>
        <v>-0.25233328596609744</v>
      </c>
      <c r="D6" s="82">
        <f>+('ESTADO DE RESULTADOS 2018-2022'!G5-'ESTADO DE RESULTADOS 2018-2022'!F5)/'ESTADO DE RESULTADOS 2018-2022'!F5</f>
        <v>0.76942487208012778</v>
      </c>
      <c r="E6" s="82">
        <f>+('ESTADO DE RESULTADOS 2018-2022'!H5-'ESTADO DE RESULTADOS 2018-2022'!G5)/'ESTADO DE RESULTADOS 2018-2022'!G5</f>
        <v>0.80609542623578578</v>
      </c>
      <c r="F6" s="82">
        <f>+('ESTADO DE RESULTADOS 2018-2022'!I5-'ESTADO DE RESULTADOS 2018-2022'!H5)/'ESTADO DE RESULTADOS 2018-2022'!H5</f>
        <v>1.1946337731699523</v>
      </c>
      <c r="G6" s="83">
        <f>AVERAGE(C6:F6)</f>
        <v>0.62945519637994218</v>
      </c>
      <c r="H6" s="84">
        <f>+'ESTADO DE RESULTADOS 2018-2022'!I5*(1+'ANALISIS HORIZONTAL ER'!G6)</f>
        <v>63310967735.037521</v>
      </c>
      <c r="I6" s="85">
        <f>+H6*(1+G6)</f>
        <v>103162385363.69975</v>
      </c>
    </row>
    <row r="7" spans="1:9" x14ac:dyDescent="0.25">
      <c r="B7" s="56" t="s">
        <v>98</v>
      </c>
      <c r="C7" s="82">
        <f>+('ESTADO DE RESULTADOS 2018-2022'!F6-'ESTADO DE RESULTADOS 2018-2022'!E6)/'ESTADO DE RESULTADOS 2018-2022'!E6</f>
        <v>0.24950099015764235</v>
      </c>
      <c r="D7" s="82">
        <f>+('ESTADO DE RESULTADOS 2018-2022'!G6-'ESTADO DE RESULTADOS 2018-2022'!F6)/'ESTADO DE RESULTADOS 2018-2022'!F6</f>
        <v>0.74339161378855156</v>
      </c>
      <c r="E7" s="82">
        <f>+('ESTADO DE RESULTADOS 2018-2022'!H6-'ESTADO DE RESULTADOS 2018-2022'!G6)/'ESTADO DE RESULTADOS 2018-2022'!G6</f>
        <v>9.7886084416544797E-2</v>
      </c>
      <c r="F7" s="82">
        <f>+('ESTADO DE RESULTADOS 2018-2022'!I6-'ESTADO DE RESULTADOS 2018-2022'!H6)/'ESTADO DE RESULTADOS 2018-2022'!H6</f>
        <v>1.928933986546761</v>
      </c>
      <c r="G7" s="83">
        <f>AVERAGE(C7:F7)</f>
        <v>0.754928168727375</v>
      </c>
      <c r="H7" s="84">
        <f>+'ESTADO DE RESULTADOS 2018-2022'!I6*(1+'ANALISIS HORIZONTAL ER'!G7)</f>
        <v>31381215307.498119</v>
      </c>
      <c r="I7" s="85">
        <f>+H7*(1+G7)</f>
        <v>55071778712.027145</v>
      </c>
    </row>
    <row r="8" spans="1:9" ht="15.6" x14ac:dyDescent="0.3">
      <c r="A8" s="5"/>
      <c r="B8" s="55" t="s">
        <v>24</v>
      </c>
      <c r="C8" s="93">
        <f>+('ESTADO DE RESULTADOS 2018-2022'!F7-'ESTADO DE RESULTADOS 2018-2022'!E7)/'ESTADO DE RESULTADOS 2018-2022'!E7</f>
        <v>-0.51610082155085479</v>
      </c>
      <c r="D8" s="93">
        <f>+('ESTADO DE RESULTADOS 2018-2022'!G7-'ESTADO DE RESULTADOS 2018-2022'!F7)/'ESTADO DE RESULTADOS 2018-2022'!F7</f>
        <v>0.80475711988974796</v>
      </c>
      <c r="E8" s="93">
        <f>+('ESTADO DE RESULTADOS 2018-2022'!H7-'ESTADO DE RESULTADOS 2018-2022'!G7)/'ESTADO DE RESULTADOS 2018-2022'!G7</f>
        <v>1.7345925877184838</v>
      </c>
      <c r="F8" s="93">
        <f>+('ESTADO DE RESULTADOS 2018-2022'!I7-'ESTADO DE RESULTADOS 2018-2022'!H7)/'ESTADO DE RESULTADOS 2018-2022'!H7</f>
        <v>0.80812689058928899</v>
      </c>
      <c r="G8" s="105"/>
      <c r="H8" s="106">
        <f>SUM(H6:H7)</f>
        <v>94692183042.535645</v>
      </c>
      <c r="I8" s="114">
        <f>SUM(I6:I7)</f>
        <v>158234164075.7269</v>
      </c>
    </row>
    <row r="9" spans="1:9" ht="15.6" x14ac:dyDescent="0.3">
      <c r="B9" s="55"/>
      <c r="C9" s="58"/>
      <c r="D9" s="58"/>
      <c r="E9" s="58"/>
      <c r="F9" s="58"/>
      <c r="G9" s="105"/>
      <c r="H9" s="105"/>
      <c r="I9" s="85"/>
    </row>
    <row r="10" spans="1:9" ht="15.6" x14ac:dyDescent="0.3">
      <c r="B10" s="55"/>
      <c r="G10" s="105"/>
      <c r="H10" s="105"/>
      <c r="I10" s="85"/>
    </row>
    <row r="11" spans="1:9" x14ac:dyDescent="0.25">
      <c r="B11" s="56" t="s">
        <v>99</v>
      </c>
      <c r="C11" s="82">
        <v>0</v>
      </c>
      <c r="D11" s="82">
        <v>0</v>
      </c>
      <c r="E11" s="82">
        <v>0</v>
      </c>
      <c r="F11" s="82">
        <v>0</v>
      </c>
      <c r="G11" s="83">
        <f>AVERAGE(C11:F11)</f>
        <v>0</v>
      </c>
      <c r="H11" s="107"/>
      <c r="I11" s="115"/>
    </row>
    <row r="12" spans="1:9" x14ac:dyDescent="0.25">
      <c r="B12" s="60" t="s">
        <v>100</v>
      </c>
      <c r="C12" s="82">
        <f>+('ESTADO DE RESULTADOS 2018-2022'!F11-'ESTADO DE RESULTADOS 2018-2022'!E11)/'ESTADO DE RESULTADOS 2018-2022'!E11</f>
        <v>0.21364599913948915</v>
      </c>
      <c r="D12" s="82">
        <f>+('ESTADO DE RESULTADOS 2018-2022'!G11-'ESTADO DE RESULTADOS 2018-2022'!F11)/'ESTADO DE RESULTADOS 2018-2022'!F11</f>
        <v>7.464535456341459E-2</v>
      </c>
      <c r="E12" s="82">
        <f>+('ESTADO DE RESULTADOS 2018-2022'!H11-'ESTADO DE RESULTADOS 2018-2022'!G11)/'ESTADO DE RESULTADOS 2018-2022'!G11</f>
        <v>0.10450964006782811</v>
      </c>
      <c r="F12" s="82">
        <f>+('ESTADO DE RESULTADOS 2018-2022'!I11-'ESTADO DE RESULTADOS 2018-2022'!H11)/'ESTADO DE RESULTADOS 2018-2022'!H11</f>
        <v>0.57726290735919139</v>
      </c>
      <c r="G12" s="83">
        <f>AVERAGE(C12:F12)</f>
        <v>0.24251597528248081</v>
      </c>
      <c r="H12" s="84">
        <f>+'ESTADO DE RESULTADOS 2018-2022'!I11*(1+'ANALISIS HORIZONTAL ER'!G12)</f>
        <v>4544450504.5987778</v>
      </c>
      <c r="I12" s="85">
        <f>+H12*(1+G12)</f>
        <v>5646552350.844512</v>
      </c>
    </row>
    <row r="13" spans="1:9" x14ac:dyDescent="0.25">
      <c r="B13" s="60" t="s">
        <v>101</v>
      </c>
      <c r="C13" s="82">
        <f>+('ESTADO DE RESULTADOS 2018-2022'!F12-'ESTADO DE RESULTADOS 2018-2022'!E12)/'ESTADO DE RESULTADOS 2018-2022'!E12</f>
        <v>-0.26160711012621529</v>
      </c>
      <c r="D13" s="82">
        <f>+('ESTADO DE RESULTADOS 2018-2022'!G12-'ESTADO DE RESULTADOS 2018-2022'!F12)/'ESTADO DE RESULTADOS 2018-2022'!F12</f>
        <v>0.28098560230039593</v>
      </c>
      <c r="E13" s="82">
        <f>+('ESTADO DE RESULTADOS 2018-2022'!H12-'ESTADO DE RESULTADOS 2018-2022'!G12)/'ESTADO DE RESULTADOS 2018-2022'!G12</f>
        <v>0.39965334731691843</v>
      </c>
      <c r="F13" s="82">
        <f>+('ESTADO DE RESULTADOS 2018-2022'!I12-'ESTADO DE RESULTADOS 2018-2022'!H12)/'ESTADO DE RESULTADOS 2018-2022'!H12</f>
        <v>2.2392392794400058</v>
      </c>
      <c r="G13" s="83">
        <f>AVERAGE(C13:F13)</f>
        <v>0.66456777973277625</v>
      </c>
      <c r="H13" s="84">
        <f>+'ESTADO DE RESULTADOS 2018-2022'!I12*(1+'ANALISIS HORIZONTAL ER'!G13)</f>
        <v>6360673199.4561386</v>
      </c>
      <c r="I13" s="85">
        <f>+H13*(1+G13)</f>
        <v>10587771665.22448</v>
      </c>
    </row>
    <row r="14" spans="1:9" x14ac:dyDescent="0.25">
      <c r="B14" s="56"/>
      <c r="C14" s="82">
        <v>0</v>
      </c>
      <c r="D14" s="82">
        <v>0</v>
      </c>
      <c r="E14" s="82">
        <v>0</v>
      </c>
      <c r="F14" s="82">
        <v>0</v>
      </c>
      <c r="G14" s="83">
        <f>AVERAGE(C14:F14)</f>
        <v>0</v>
      </c>
      <c r="H14" s="107">
        <v>0</v>
      </c>
      <c r="I14" s="115">
        <v>0</v>
      </c>
    </row>
    <row r="15" spans="1:9" ht="15.6" x14ac:dyDescent="0.3">
      <c r="B15" s="55"/>
      <c r="C15" s="82">
        <f>+('ESTADO DE RESULTADOS 2018-2022'!F14-'ESTADO DE RESULTADOS 2018-2022'!E14)/'ESTADO DE RESULTADOS 2018-2022'!E14</f>
        <v>4.4306938237372438E-2</v>
      </c>
      <c r="D15" s="82">
        <f>+('ESTADO DE RESULTADOS 2018-2022'!G14-'ESTADO DE RESULTADOS 2018-2022'!F14)/'ESTADO DE RESULTADOS 2018-2022'!F14</f>
        <v>0.12663004600072109</v>
      </c>
      <c r="E15" s="82">
        <f>+('ESTADO DE RESULTADOS 2018-2022'!H14-'ESTADO DE RESULTADOS 2018-2022'!G14)/'ESTADO DE RESULTADOS 2018-2022'!G14</f>
        <v>0.18905464819573312</v>
      </c>
      <c r="F15" s="82">
        <f>+('ESTADO DE RESULTADOS 2018-2022'!I14-'ESTADO DE RESULTADOS 2018-2022'!H14)/'ESTADO DE RESULTADOS 2018-2022'!H14</f>
        <v>1.1376626917466095</v>
      </c>
      <c r="G15" s="83">
        <f>AVERAGE(C15:F15)</f>
        <v>0.37441358104510902</v>
      </c>
      <c r="H15" s="108">
        <f>+'ESTADO DE RESULTADOS 2018-2022'!I14*(1+'ANALISIS HORIZONTAL ER'!G15)</f>
        <v>10278791816.134289</v>
      </c>
      <c r="I15" s="85">
        <f>H15*(1+G15)</f>
        <v>14127311068.830288</v>
      </c>
    </row>
    <row r="16" spans="1:9" ht="15.6" x14ac:dyDescent="0.3">
      <c r="B16" s="55"/>
      <c r="C16" s="89"/>
      <c r="D16" s="89"/>
      <c r="E16" s="89"/>
      <c r="F16" s="89"/>
    </row>
    <row r="17" spans="2:9" ht="15.6" x14ac:dyDescent="0.3">
      <c r="B17" s="62" t="s">
        <v>107</v>
      </c>
      <c r="C17" s="93"/>
      <c r="D17" s="93"/>
      <c r="E17" s="93"/>
      <c r="F17" s="93"/>
      <c r="H17" s="91">
        <f>SUM(H12:H16)</f>
        <v>21183915520.189205</v>
      </c>
      <c r="I17" s="96">
        <f>SUM(I12:I16)</f>
        <v>30361635084.899281</v>
      </c>
    </row>
    <row r="18" spans="2:9" ht="15.6" x14ac:dyDescent="0.3">
      <c r="C18" s="58"/>
      <c r="D18" s="58"/>
      <c r="E18" s="58"/>
      <c r="F18" s="58"/>
    </row>
    <row r="19" spans="2:9" ht="15.6" x14ac:dyDescent="0.3">
      <c r="B19" s="55"/>
      <c r="C19" s="63"/>
      <c r="D19" s="63"/>
      <c r="E19" s="63"/>
      <c r="F19" s="63"/>
    </row>
    <row r="20" spans="2:9" x14ac:dyDescent="0.25">
      <c r="B20" s="56" t="s">
        <v>108</v>
      </c>
      <c r="C20" s="82">
        <f>+('ESTADO DE RESULTADOS 2018-2022'!F19-'ESTADO DE RESULTADOS 2018-2022'!E19)/'ESTADO DE RESULTADOS 2018-2022'!E19</f>
        <v>-0.94164573574839694</v>
      </c>
      <c r="D20" s="82">
        <f>+('ESTADO DE RESULTADOS 2018-2022'!G19-'ESTADO DE RESULTADOS 2018-2022'!F19)/'ESTADO DE RESULTADOS 2018-2022'!F19</f>
        <v>-8.4378434825658988E-2</v>
      </c>
      <c r="E20" s="82">
        <f>+('ESTADO DE RESULTADOS 2018-2022'!H19-'ESTADO DE RESULTADOS 2018-2022'!G19)/'ESTADO DE RESULTADOS 2018-2022'!G19</f>
        <v>19.686738212357945</v>
      </c>
      <c r="F20" s="82">
        <f>+('ESTADO DE RESULTADOS 2018-2022'!I19-'ESTADO DE RESULTADOS 2018-2022'!H19)/'ESTADO DE RESULTADOS 2018-2022'!H19</f>
        <v>2.7857511252573808</v>
      </c>
      <c r="G20" s="83">
        <f>AVERAGE(C20:F20)</f>
        <v>5.3616162917603178</v>
      </c>
      <c r="H20" s="108">
        <f>+'ESTADO DE RESULTADOS 2018-2022'!I19*(1+'ANALISIS HORIZONTAL ER'!G20)</f>
        <v>36414178378.443947</v>
      </c>
      <c r="I20" s="85">
        <f>+H20*(1+G20)</f>
        <v>231653030423.37534</v>
      </c>
    </row>
    <row r="21" spans="2:9" x14ac:dyDescent="0.25">
      <c r="B21" s="56" t="s">
        <v>109</v>
      </c>
      <c r="C21" s="82">
        <f>+('ESTADO DE RESULTADOS 2018-2022'!F20-'ESTADO DE RESULTADOS 2018-2022'!E20)/'ESTADO DE RESULTADOS 2018-2022'!E20</f>
        <v>-2.2622779673732754</v>
      </c>
      <c r="D21" s="82">
        <f>+('ESTADO DE RESULTADOS 2018-2022'!G20-'ESTADO DE RESULTADOS 2018-2022'!F20)/'ESTADO DE RESULTADOS 2018-2022'!F20</f>
        <v>-0.43157061112904804</v>
      </c>
      <c r="E21" s="82">
        <f>+('ESTADO DE RESULTADOS 2018-2022'!H20-'ESTADO DE RESULTADOS 2018-2022'!G20)/'ESTADO DE RESULTADOS 2018-2022'!G20</f>
        <v>-2.8842531479307034</v>
      </c>
      <c r="F21" s="82">
        <f>+('ESTADO DE RESULTADOS 2018-2022'!I20-'ESTADO DE RESULTADOS 2018-2022'!H20)/'ESTADO DE RESULTADOS 2018-2022'!H20</f>
        <v>-1</v>
      </c>
      <c r="G21" s="83">
        <f>AVERAGE(C21:F21)</f>
        <v>-1.6445254316082567</v>
      </c>
      <c r="H21" s="108">
        <f>+'ESTADO DE RESULTADOS 2018-2022'!I20*(1+'ANALISIS HORIZONTAL ER'!G21)</f>
        <v>0</v>
      </c>
      <c r="I21" s="85">
        <f t="shared" ref="I21:I24" si="0">+H21*(1+G21)</f>
        <v>0</v>
      </c>
    </row>
    <row r="22" spans="2:9" x14ac:dyDescent="0.25">
      <c r="B22" s="56"/>
      <c r="C22" s="82">
        <v>0</v>
      </c>
      <c r="D22" s="82">
        <f>+('ESTADO DE RESULTADOS 2018-2022'!G22-'ESTADO DE RESULTADOS 2018-2022'!F22)/'ESTADO DE RESULTADOS 2018-2022'!F22</f>
        <v>0.32629155895531642</v>
      </c>
      <c r="E22" s="82">
        <v>0</v>
      </c>
      <c r="F22" s="82">
        <v>0</v>
      </c>
      <c r="G22" s="83">
        <f t="shared" ref="G22:G23" si="1">AVERAGE(C22:F22)</f>
        <v>8.1572889738829105E-2</v>
      </c>
      <c r="H22" s="108">
        <f>+'ESTADO DE RESULTADOS 2018-2022'!I21*(1+'ANALISIS HORIZONTAL ER'!G22)</f>
        <v>0</v>
      </c>
      <c r="I22" s="85">
        <f t="shared" si="0"/>
        <v>0</v>
      </c>
    </row>
    <row r="23" spans="2:9" x14ac:dyDescent="0.25">
      <c r="B23" s="56" t="s">
        <v>109</v>
      </c>
      <c r="C23" s="82">
        <v>0</v>
      </c>
      <c r="D23" s="82">
        <f>+('ESTADO DE RESULTADOS 2018-2022'!G22-'ESTADO DE RESULTADOS 2018-2022'!F22)/'ESTADO DE RESULTADOS 2018-2022'!F22</f>
        <v>0.32629155895531642</v>
      </c>
      <c r="E23" s="82">
        <f>+('ESTADO DE RESULTADOS 2018-2022'!H22-'ESTADO DE RESULTADOS 2018-2022'!G22)/'ESTADO DE RESULTADOS 2018-2022'!G22</f>
        <v>-1</v>
      </c>
      <c r="F23" s="82">
        <v>0</v>
      </c>
      <c r="G23" s="83">
        <f t="shared" si="1"/>
        <v>-0.16842711026117091</v>
      </c>
      <c r="H23" s="108">
        <f>+'ESTADO DE RESULTADOS 2018-2022'!I22*(1+'ANALISIS HORIZONTAL ER'!G23)</f>
        <v>-3095354134.5344887</v>
      </c>
      <c r="I23" s="85">
        <f t="shared" si="0"/>
        <v>-2574012582.4198771</v>
      </c>
    </row>
    <row r="24" spans="2:9" x14ac:dyDescent="0.25">
      <c r="B24" s="56" t="s">
        <v>110</v>
      </c>
      <c r="C24" s="82">
        <v>0</v>
      </c>
      <c r="D24" s="82">
        <f>+('ESTADO DE RESULTADOS 2018-2022'!G23-'ESTADO DE RESULTADOS 2018-2022'!F23)/'ESTADO DE RESULTADOS 2018-2022'!F23</f>
        <v>-0.3967580371257971</v>
      </c>
      <c r="E24" s="82">
        <f>+('ESTADO DE RESULTADOS 2018-2022'!H23-'ESTADO DE RESULTADOS 2018-2022'!G23)/'ESTADO DE RESULTADOS 2018-2022'!G23</f>
        <v>-1</v>
      </c>
      <c r="F24" s="82">
        <v>0</v>
      </c>
      <c r="G24" s="83">
        <f>AVERAGE(C24:F24)</f>
        <v>-0.34918950928144926</v>
      </c>
      <c r="H24" s="108">
        <f>+'ESTADO DE RESULTADOS 2018-2022'!I23*(1+'ANALISIS HORIZONTAL ER'!G24)</f>
        <v>0</v>
      </c>
      <c r="I24" s="85">
        <f t="shared" si="0"/>
        <v>0</v>
      </c>
    </row>
    <row r="26" spans="2:9" ht="15.6" x14ac:dyDescent="0.3">
      <c r="B26" s="55"/>
      <c r="C26" s="68"/>
      <c r="D26" s="68"/>
      <c r="E26" s="68"/>
      <c r="F26" s="68"/>
    </row>
    <row r="27" spans="2:9" ht="31.2" x14ac:dyDescent="0.3">
      <c r="B27" s="69" t="s">
        <v>111</v>
      </c>
      <c r="H27" s="109">
        <f>+H20+H21+H23</f>
        <v>33318824243.909458</v>
      </c>
      <c r="I27" s="116">
        <f>+I20+I21+I23</f>
        <v>229079017840.95544</v>
      </c>
    </row>
    <row r="28" spans="2:9" ht="15.6" x14ac:dyDescent="0.3">
      <c r="B28" s="70"/>
    </row>
    <row r="29" spans="2:9" x14ac:dyDescent="0.25">
      <c r="B29" s="56" t="s">
        <v>112</v>
      </c>
      <c r="C29" s="82">
        <v>0</v>
      </c>
      <c r="D29" s="82">
        <v>0</v>
      </c>
      <c r="E29" s="82">
        <v>0</v>
      </c>
      <c r="F29" s="82">
        <v>0</v>
      </c>
      <c r="G29" s="83">
        <f>AVERAGE(C29:F29)</f>
        <v>0</v>
      </c>
      <c r="H29" s="84">
        <f>+'ESTADO DE RESULTADOS 2018-2022'!I28*(1+'ANALISIS HORIZONTAL ER'!G29)</f>
        <v>0</v>
      </c>
      <c r="I29" s="85">
        <f>+H29*(1+G29)</f>
        <v>0</v>
      </c>
    </row>
    <row r="30" spans="2:9" x14ac:dyDescent="0.25">
      <c r="B30" s="56" t="s">
        <v>113</v>
      </c>
      <c r="C30" s="82">
        <v>0</v>
      </c>
      <c r="D30" s="82">
        <f>+('ESTADO DE RESULTADOS 2018-2022'!G29-'ESTADO DE RESULTADOS 2018-2022'!F29)/'ESTADO DE RESULTADOS 2018-2022'!F29</f>
        <v>0.91479878352937394</v>
      </c>
      <c r="E30" s="82">
        <f>+('ESTADO DE RESULTADOS 2018-2022'!H29-'ESTADO DE RESULTADOS 2018-2022'!G29)/'ESTADO DE RESULTADOS 2018-2022'!G29</f>
        <v>-1</v>
      </c>
      <c r="F30" s="82">
        <v>0</v>
      </c>
      <c r="G30" s="83">
        <f>AVERAGE(C30:F30)</f>
        <v>-2.1300304117656516E-2</v>
      </c>
      <c r="H30" s="84">
        <f>+'ESTADO DE RESULTADOS 2018-2022'!I29*(1+'ANALISIS HORIZONTAL ER'!G30)</f>
        <v>0</v>
      </c>
      <c r="I30" s="85">
        <f>+H30*(1+G30)</f>
        <v>0</v>
      </c>
    </row>
    <row r="31" spans="2:9" x14ac:dyDescent="0.25">
      <c r="B31" s="56" t="s">
        <v>114</v>
      </c>
      <c r="C31" s="82">
        <v>0</v>
      </c>
      <c r="D31" s="82">
        <v>0</v>
      </c>
      <c r="E31" s="82">
        <f>+('ESTADO DE RESULTADOS 2018-2022'!H30-'ESTADO DE RESULTADOS 2018-2022'!G30)/'ESTADO DE RESULTADOS 2018-2022'!G30</f>
        <v>-1</v>
      </c>
      <c r="F31" s="82">
        <v>0</v>
      </c>
      <c r="G31" s="83">
        <f t="shared" ref="G31:G32" si="2">AVERAGE(C31:F31)</f>
        <v>-0.25</v>
      </c>
      <c r="H31" s="84">
        <f>+'ESTADO DE RESULTADOS 2018-2022'!I30*(1+'ANALISIS HORIZONTAL ER'!G31)</f>
        <v>0</v>
      </c>
      <c r="I31" s="85">
        <f t="shared" ref="I31:I32" si="3">+H31*(1+G31)</f>
        <v>0</v>
      </c>
    </row>
    <row r="32" spans="2:9" x14ac:dyDescent="0.25">
      <c r="B32" s="56" t="s">
        <v>115</v>
      </c>
      <c r="C32" s="82">
        <v>0</v>
      </c>
      <c r="D32" s="82">
        <v>0</v>
      </c>
      <c r="E32" s="82">
        <f>+('ESTADO DE RESULTADOS 2018-2022'!H31-'ESTADO DE RESULTADOS 2018-2022'!G31)/'ESTADO DE RESULTADOS 2018-2022'!G31</f>
        <v>-1</v>
      </c>
      <c r="F32" s="82">
        <v>0</v>
      </c>
      <c r="G32" s="83">
        <f t="shared" si="2"/>
        <v>-0.25</v>
      </c>
      <c r="H32" s="84">
        <f>+'ESTADO DE RESULTADOS 2018-2022'!I31*(1+'ANALISIS HORIZONTAL ER'!G32)</f>
        <v>0</v>
      </c>
      <c r="I32" s="85">
        <f t="shared" si="3"/>
        <v>0</v>
      </c>
    </row>
    <row r="33" spans="2:9" ht="15.6" x14ac:dyDescent="0.3">
      <c r="B33" s="62" t="s">
        <v>116</v>
      </c>
      <c r="C33" s="63"/>
      <c r="D33" s="63"/>
      <c r="E33" s="63"/>
      <c r="F33" s="63"/>
      <c r="G33" s="105"/>
      <c r="H33" s="105"/>
      <c r="I33" s="85"/>
    </row>
    <row r="34" spans="2:9" x14ac:dyDescent="0.3">
      <c r="C34" s="63"/>
      <c r="D34" s="63"/>
      <c r="E34" s="63"/>
      <c r="F34" s="63"/>
      <c r="G34" s="105"/>
      <c r="H34" s="105"/>
      <c r="I34" s="85"/>
    </row>
    <row r="35" spans="2:9" x14ac:dyDescent="0.25">
      <c r="B35" s="56" t="s">
        <v>117</v>
      </c>
      <c r="C35" s="82">
        <v>0</v>
      </c>
      <c r="D35" s="82">
        <v>0</v>
      </c>
      <c r="E35" s="82">
        <f>+('ESTADO DE RESULTADOS 2018-2022'!H34-'ESTADO DE RESULTADOS 2018-2022'!G34)/'ESTADO DE RESULTADOS 2018-2022'!G34</f>
        <v>-1</v>
      </c>
      <c r="F35" s="82">
        <v>0</v>
      </c>
      <c r="G35" s="83">
        <f>AVERAGE(C35:F35)</f>
        <v>-0.25</v>
      </c>
      <c r="H35" s="84">
        <f>+'ESTADO DE RESULTADOS 2018-2022'!I34*(1+'ANALISIS HORIZONTAL ER'!G35)</f>
        <v>0</v>
      </c>
      <c r="I35" s="85">
        <f>+H35*(1+G35)</f>
        <v>0</v>
      </c>
    </row>
    <row r="36" spans="2:9" x14ac:dyDescent="0.3">
      <c r="C36" s="63"/>
      <c r="D36" s="63"/>
      <c r="E36" s="63"/>
      <c r="F36" s="63"/>
    </row>
    <row r="37" spans="2:9" ht="15.6" x14ac:dyDescent="0.3">
      <c r="B37" s="62" t="s">
        <v>118</v>
      </c>
      <c r="H37" s="110">
        <f>+H27-H29</f>
        <v>33318824243.909458</v>
      </c>
      <c r="I37" s="96">
        <f>+I27-I29</f>
        <v>229079017840.95544</v>
      </c>
    </row>
    <row r="38" spans="2:9" ht="15.6" x14ac:dyDescent="0.3">
      <c r="B38" s="55"/>
      <c r="C38" s="68"/>
      <c r="D38" s="68"/>
      <c r="E38" s="68"/>
      <c r="F38" s="68"/>
    </row>
    <row r="40" spans="2:9" ht="15.6" x14ac:dyDescent="0.3">
      <c r="B40" s="55"/>
      <c r="C40" s="68"/>
      <c r="D40" s="68"/>
      <c r="E40" s="68"/>
      <c r="F40" s="68"/>
    </row>
    <row r="42" spans="2:9" ht="15.6" x14ac:dyDescent="0.3">
      <c r="B42" s="55"/>
    </row>
    <row r="44" spans="2:9" x14ac:dyDescent="0.3">
      <c r="C44" s="63"/>
      <c r="D44" s="63"/>
      <c r="E44" s="63"/>
      <c r="F44" s="63"/>
    </row>
    <row r="45" spans="2:9" x14ac:dyDescent="0.3">
      <c r="C45" s="63"/>
      <c r="D45" s="63"/>
      <c r="E45" s="63"/>
      <c r="F45" s="63"/>
    </row>
    <row r="46" spans="2:9" x14ac:dyDescent="0.3">
      <c r="C46" s="63"/>
      <c r="D46" s="63"/>
      <c r="E46" s="63"/>
      <c r="F46" s="63"/>
    </row>
    <row r="48" spans="2:9" ht="15.6" x14ac:dyDescent="0.3">
      <c r="B48" s="55"/>
      <c r="C48" s="68"/>
      <c r="D48" s="68"/>
      <c r="E48" s="68"/>
      <c r="F48" s="68"/>
    </row>
    <row r="50" spans="2:6" x14ac:dyDescent="0.3">
      <c r="C50" s="63"/>
      <c r="D50" s="63"/>
      <c r="E50" s="63"/>
      <c r="F50" s="63"/>
    </row>
    <row r="51" spans="2:6" x14ac:dyDescent="0.3">
      <c r="C51" s="63"/>
      <c r="D51" s="63"/>
      <c r="E51" s="63"/>
      <c r="F51" s="63"/>
    </row>
    <row r="52" spans="2:6" x14ac:dyDescent="0.3">
      <c r="C52" s="63"/>
      <c r="D52" s="63"/>
      <c r="E52" s="63"/>
      <c r="F52" s="63"/>
    </row>
    <row r="53" spans="2:6" x14ac:dyDescent="0.3">
      <c r="C53" s="63"/>
      <c r="D53" s="63"/>
      <c r="E53" s="63"/>
      <c r="F53" s="63"/>
    </row>
    <row r="54" spans="2:6" x14ac:dyDescent="0.3">
      <c r="C54" s="63"/>
      <c r="D54" s="63"/>
      <c r="E54" s="63"/>
      <c r="F54" s="63"/>
    </row>
    <row r="55" spans="2:6" x14ac:dyDescent="0.3">
      <c r="C55" s="63"/>
      <c r="D55" s="63"/>
      <c r="E55" s="63"/>
      <c r="F55" s="63"/>
    </row>
    <row r="56" spans="2:6" x14ac:dyDescent="0.3">
      <c r="C56" s="63"/>
      <c r="D56" s="63"/>
      <c r="E56" s="63"/>
      <c r="F56" s="63"/>
    </row>
    <row r="57" spans="2:6" x14ac:dyDescent="0.3">
      <c r="C57" s="63"/>
      <c r="D57" s="63"/>
      <c r="E57" s="63"/>
      <c r="F57" s="63"/>
    </row>
    <row r="58" spans="2:6" x14ac:dyDescent="0.3">
      <c r="C58" s="63"/>
      <c r="D58" s="63"/>
      <c r="E58" s="63"/>
      <c r="F58" s="63"/>
    </row>
    <row r="59" spans="2:6" x14ac:dyDescent="0.3">
      <c r="C59" s="63"/>
      <c r="D59" s="63"/>
      <c r="E59" s="63"/>
      <c r="F59" s="63"/>
    </row>
    <row r="61" spans="2:6" ht="15.6" x14ac:dyDescent="0.3">
      <c r="B61" s="55"/>
      <c r="C61" s="68"/>
      <c r="D61" s="68"/>
      <c r="E61" s="68"/>
      <c r="F61" s="68"/>
    </row>
    <row r="63" spans="2:6" ht="15.6" x14ac:dyDescent="0.3">
      <c r="B63" s="55"/>
      <c r="C63" s="68"/>
      <c r="D63" s="68"/>
      <c r="E63" s="68"/>
      <c r="F63" s="68"/>
    </row>
    <row r="64" spans="2:6" x14ac:dyDescent="0.3">
      <c r="C64" s="78"/>
      <c r="D64" s="78"/>
      <c r="E64" s="78"/>
      <c r="F64" s="78"/>
    </row>
    <row r="65" spans="2:6" x14ac:dyDescent="0.3">
      <c r="C65" s="63"/>
      <c r="D65" s="63"/>
      <c r="E65" s="63"/>
      <c r="F65" s="63"/>
    </row>
    <row r="66" spans="2:6" x14ac:dyDescent="0.3">
      <c r="C66" s="63"/>
      <c r="D66" s="63"/>
      <c r="E66" s="63"/>
      <c r="F66" s="63"/>
    </row>
    <row r="68" spans="2:6" ht="15.6" x14ac:dyDescent="0.3">
      <c r="B68" s="55"/>
      <c r="C68" s="68"/>
      <c r="D68" s="68"/>
      <c r="E68" s="68"/>
      <c r="F68" s="68"/>
    </row>
  </sheetData>
  <mergeCells count="2">
    <mergeCell ref="B1:F1"/>
    <mergeCell ref="H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9900"/>
  </sheetPr>
  <dimension ref="B3:K23"/>
  <sheetViews>
    <sheetView showGridLines="0" topLeftCell="A16" zoomScale="96" zoomScaleNormal="96" workbookViewId="0">
      <selection activeCell="I16" sqref="I16"/>
    </sheetView>
  </sheetViews>
  <sheetFormatPr baseColWidth="10" defaultColWidth="11.44140625" defaultRowHeight="13.8" x14ac:dyDescent="0.3"/>
  <cols>
    <col min="1" max="1" width="2.5546875" style="11" customWidth="1"/>
    <col min="2" max="2" width="18.44140625" style="11" customWidth="1"/>
    <col min="3" max="3" width="26.33203125" style="11" customWidth="1"/>
    <col min="4" max="4" width="16.44140625" style="11" hidden="1" customWidth="1"/>
    <col min="5" max="6" width="13.6640625" style="11" hidden="1" customWidth="1"/>
    <col min="7" max="7" width="14.6640625" style="11" hidden="1" customWidth="1"/>
    <col min="8" max="8" width="14.6640625" style="11" customWidth="1"/>
    <col min="9" max="9" width="53.109375" style="11" customWidth="1"/>
    <col min="10" max="10" width="14.44140625" style="11" bestFit="1" customWidth="1"/>
    <col min="11" max="11" width="12.44140625" style="11" customWidth="1"/>
    <col min="12" max="16384" width="11.44140625" style="11"/>
  </cols>
  <sheetData>
    <row r="3" spans="2:11" ht="24" customHeight="1" x14ac:dyDescent="0.3">
      <c r="B3" s="122" t="s">
        <v>39</v>
      </c>
      <c r="C3" s="123"/>
      <c r="D3" s="123"/>
      <c r="E3" s="123"/>
      <c r="F3" s="123"/>
      <c r="G3" s="123"/>
      <c r="H3" s="123"/>
      <c r="I3" s="123"/>
      <c r="J3" s="123"/>
      <c r="K3" s="12"/>
    </row>
    <row r="4" spans="2:11" x14ac:dyDescent="0.3">
      <c r="B4" s="12"/>
    </row>
    <row r="5" spans="2:11" ht="20.100000000000001" customHeight="1" x14ac:dyDescent="0.3">
      <c r="B5" s="50" t="s">
        <v>30</v>
      </c>
      <c r="C5" s="50" t="s">
        <v>31</v>
      </c>
      <c r="D5" s="51">
        <v>2018</v>
      </c>
      <c r="E5" s="51">
        <v>2019</v>
      </c>
      <c r="F5" s="51">
        <v>2020</v>
      </c>
      <c r="G5" s="51">
        <v>2021</v>
      </c>
      <c r="H5" s="51">
        <v>2022</v>
      </c>
      <c r="I5" s="50" t="s">
        <v>32</v>
      </c>
      <c r="J5" s="50" t="s">
        <v>33</v>
      </c>
      <c r="K5" s="7"/>
    </row>
    <row r="6" spans="2:11" ht="29.25" customHeight="1" x14ac:dyDescent="0.3">
      <c r="B6" s="47" t="s">
        <v>120</v>
      </c>
      <c r="C6" s="13" t="s">
        <v>121</v>
      </c>
      <c r="D6" s="48">
        <f>+'BALANCES GENERAL 2018-2022'!E17-'BALANCES GENERAL 2018-2022'!E51</f>
        <v>8725514819</v>
      </c>
      <c r="E6" s="48">
        <f>+'BALANCES GENERAL 2018-2022'!F17-'BALANCES GENERAL 2018-2022'!F51</f>
        <v>6659937726</v>
      </c>
      <c r="F6" s="48">
        <f>+'BALANCES GENERAL 2018-2022'!G17-'BALANCES GENERAL 2018-2022'!G51</f>
        <v>8491417093</v>
      </c>
      <c r="G6" s="48">
        <f>+'BALANCES GENERAL 2018-2022'!H17-'BALANCES GENERAL 2018-2022'!H51</f>
        <v>17606253400.110001</v>
      </c>
      <c r="H6" s="25">
        <f>+'BALANCES GENERAL 2018-2022'!I17-'BALANCES GENERAL 2018-2022'!I51</f>
        <v>30805926285</v>
      </c>
      <c r="I6" s="13" t="s">
        <v>128</v>
      </c>
      <c r="J6" s="13" t="s">
        <v>35</v>
      </c>
      <c r="K6" s="12"/>
    </row>
    <row r="7" spans="2:11" ht="24.75" customHeight="1" x14ac:dyDescent="0.3">
      <c r="B7" s="47" t="s">
        <v>40</v>
      </c>
      <c r="C7" s="13" t="s">
        <v>41</v>
      </c>
      <c r="D7" s="49">
        <f>+('BALANCES GENERAL 2018-2022'!E17-'BALANCES GENERAL 2018-2022'!E10)/'BALANCES GENERAL 2018-2022'!E51</f>
        <v>5.0481393389018665</v>
      </c>
      <c r="E7" s="49">
        <f>+('BALANCES GENERAL 2018-2022'!F17-'BALANCES GENERAL 2018-2022'!F10)/'BALANCES GENERAL 2018-2022'!F51</f>
        <v>7.3441096889506872</v>
      </c>
      <c r="F7" s="49">
        <f>+('BALANCES GENERAL 2018-2022'!G17-'BALANCES GENERAL 2018-2022'!G10)/'BALANCES GENERAL 2018-2022'!G51</f>
        <v>3.5386345961431851</v>
      </c>
      <c r="G7" s="49">
        <f>+('BALANCES GENERAL 2018-2022'!H17-'BALANCES GENERAL 2018-2022'!H10)/'BALANCES GENERAL 2018-2022'!H51</f>
        <v>3.7815698197109118</v>
      </c>
      <c r="H7" s="24">
        <f>+('BALANCES GENERAL 2018-2022'!I17-'BALANCES GENERAL 2018-2022'!I10)/'BALANCES GENERAL 2018-2022'!I51</f>
        <v>3.4673954704334555</v>
      </c>
      <c r="I7" s="13" t="s">
        <v>49</v>
      </c>
      <c r="J7" s="13" t="s">
        <v>35</v>
      </c>
      <c r="K7" s="15"/>
    </row>
    <row r="8" spans="2:11" ht="27.6" hidden="1" x14ac:dyDescent="0.3">
      <c r="B8" s="13" t="s">
        <v>42</v>
      </c>
      <c r="C8" s="13" t="s">
        <v>43</v>
      </c>
      <c r="D8" s="19"/>
      <c r="E8" s="19"/>
      <c r="F8" s="19"/>
      <c r="G8" s="19"/>
      <c r="H8" s="19"/>
      <c r="I8" s="14" t="s">
        <v>50</v>
      </c>
      <c r="J8" s="13" t="s">
        <v>51</v>
      </c>
      <c r="K8" s="12"/>
    </row>
    <row r="9" spans="2:11" ht="41.4" hidden="1" x14ac:dyDescent="0.3">
      <c r="B9" s="13" t="s">
        <v>44</v>
      </c>
      <c r="C9" s="13" t="s">
        <v>45</v>
      </c>
      <c r="D9" s="19"/>
      <c r="E9" s="19"/>
      <c r="F9" s="19"/>
      <c r="G9" s="19"/>
      <c r="H9" s="19"/>
      <c r="I9" s="14" t="s">
        <v>52</v>
      </c>
      <c r="J9" s="13" t="s">
        <v>51</v>
      </c>
      <c r="K9" s="15"/>
    </row>
    <row r="10" spans="2:11" ht="41.4" hidden="1" x14ac:dyDescent="0.3">
      <c r="B10" s="13" t="s">
        <v>46</v>
      </c>
      <c r="C10" s="13" t="s">
        <v>47</v>
      </c>
      <c r="D10" s="19"/>
      <c r="E10" s="19"/>
      <c r="F10" s="19"/>
      <c r="G10" s="19"/>
      <c r="H10" s="19"/>
      <c r="I10" s="14" t="s">
        <v>53</v>
      </c>
      <c r="J10" s="13" t="s">
        <v>54</v>
      </c>
      <c r="K10" s="15"/>
    </row>
    <row r="11" spans="2:11" ht="27.6" hidden="1" x14ac:dyDescent="0.3">
      <c r="B11" s="13" t="s">
        <v>48</v>
      </c>
      <c r="C11" s="13"/>
      <c r="D11" s="19"/>
      <c r="E11" s="19"/>
      <c r="F11" s="19"/>
      <c r="G11" s="19"/>
      <c r="H11" s="19"/>
      <c r="I11" s="13" t="s">
        <v>55</v>
      </c>
      <c r="J11" s="16" t="s">
        <v>36</v>
      </c>
      <c r="K11" s="15"/>
    </row>
    <row r="13" spans="2:11" ht="18" x14ac:dyDescent="0.3">
      <c r="B13" s="122" t="s">
        <v>29</v>
      </c>
      <c r="C13" s="123"/>
      <c r="D13" s="123"/>
      <c r="E13" s="123"/>
      <c r="F13" s="123"/>
      <c r="G13" s="123"/>
      <c r="H13" s="123"/>
      <c r="I13" s="123"/>
      <c r="J13" s="123"/>
    </row>
    <row r="15" spans="2:11" ht="14.4" x14ac:dyDescent="0.3">
      <c r="B15" s="52" t="s">
        <v>30</v>
      </c>
      <c r="C15" s="52" t="s">
        <v>31</v>
      </c>
      <c r="D15" s="51">
        <v>2018</v>
      </c>
      <c r="E15" s="51">
        <v>2019</v>
      </c>
      <c r="F15" s="51">
        <v>2020</v>
      </c>
      <c r="G15" s="51">
        <v>2021</v>
      </c>
      <c r="H15" s="51">
        <v>2022</v>
      </c>
      <c r="I15" s="52" t="s">
        <v>32</v>
      </c>
      <c r="J15" s="52" t="s">
        <v>33</v>
      </c>
      <c r="K15" s="7"/>
    </row>
    <row r="16" spans="2:11" ht="27.6" x14ac:dyDescent="0.3">
      <c r="B16" s="47" t="s">
        <v>122</v>
      </c>
      <c r="C16" s="13" t="s">
        <v>123</v>
      </c>
      <c r="D16" s="49">
        <f>+'BALANCES GENERAL 2018-2022'!E17/'BALANCES GENERAL 2018-2022'!E51</f>
        <v>6.2467308239786838</v>
      </c>
      <c r="E16" s="49">
        <f>+'BALANCES GENERAL 2018-2022'!F17/'BALANCES GENERAL 2018-2022'!F51</f>
        <v>10.335043307794365</v>
      </c>
      <c r="F16" s="49">
        <f>+'BALANCES GENERAL 2018-2022'!G17/'BALANCES GENERAL 2018-2022'!G51</f>
        <v>4.1527181225393974</v>
      </c>
      <c r="G16" s="49">
        <f>+'BALANCES GENERAL 2018-2022'!H17/'BALANCES GENERAL 2018-2022'!H51</f>
        <v>4.1755978127195545</v>
      </c>
      <c r="H16" s="49">
        <f>+'BALANCES GENERAL 2018-2022'!I17/'BALANCES GENERAL 2018-2022'!I51</f>
        <v>3.7310553279427365</v>
      </c>
      <c r="I16" s="13" t="s">
        <v>34</v>
      </c>
      <c r="J16" s="13" t="s">
        <v>35</v>
      </c>
      <c r="K16" s="12"/>
    </row>
    <row r="17" spans="2:10" ht="14.4" thickBot="1" x14ac:dyDescent="0.35"/>
    <row r="18" spans="2:10" ht="24" customHeight="1" thickBot="1" x14ac:dyDescent="0.35">
      <c r="B18" s="117" t="s">
        <v>63</v>
      </c>
      <c r="C18" s="118"/>
      <c r="D18" s="118"/>
      <c r="E18" s="118"/>
      <c r="F18" s="118"/>
      <c r="G18" s="118"/>
      <c r="H18" s="118"/>
      <c r="I18" s="118"/>
      <c r="J18" s="124"/>
    </row>
    <row r="20" spans="2:10" ht="14.4" x14ac:dyDescent="0.3">
      <c r="B20" s="52" t="s">
        <v>30</v>
      </c>
      <c r="C20" s="52" t="s">
        <v>31</v>
      </c>
      <c r="D20" s="51">
        <v>2018</v>
      </c>
      <c r="E20" s="51">
        <v>2019</v>
      </c>
      <c r="F20" s="51">
        <v>2020</v>
      </c>
      <c r="G20" s="51">
        <v>2021</v>
      </c>
      <c r="H20" s="51">
        <v>2022</v>
      </c>
      <c r="I20" s="52" t="s">
        <v>32</v>
      </c>
      <c r="J20" s="52" t="s">
        <v>33</v>
      </c>
    </row>
    <row r="21" spans="2:10" x14ac:dyDescent="0.3">
      <c r="B21" s="47" t="s">
        <v>56</v>
      </c>
      <c r="C21" s="13" t="s">
        <v>57</v>
      </c>
      <c r="D21" s="23">
        <f>+'ESTADO DE RESULTADOS 2018-2022'!E26/'BALANCES GENERAL 2018-2022'!E77</f>
        <v>8.0834861737415192E-2</v>
      </c>
      <c r="E21" s="23">
        <f>+'ESTADO DE RESULTADOS 2018-2022'!F26/'BALANCES GENERAL 2018-2022'!F77</f>
        <v>-6.4506585066211233E-3</v>
      </c>
      <c r="F21" s="23">
        <f>+'ESTADO DE RESULTADOS 2018-2022'!G26/'BALANCES GENERAL 2018-2022'!G77</f>
        <v>3.4208339459063618E-2</v>
      </c>
      <c r="G21" s="23">
        <f>+'ESTADO DE RESULTADOS 2018-2022'!H26/'BALANCES GENERAL 2018-2022'!H77</f>
        <v>0.20343381092703361</v>
      </c>
      <c r="H21" s="23">
        <f>+'ESTADO DE RESULTADOS 2018-2022'!I26/'BALANCES GENERAL 2018-2022'!I77</f>
        <v>0.32674550549035086</v>
      </c>
      <c r="I21" s="13" t="s">
        <v>58</v>
      </c>
      <c r="J21" s="13" t="s">
        <v>59</v>
      </c>
    </row>
    <row r="22" spans="2:10" ht="27.6" x14ac:dyDescent="0.3">
      <c r="B22" s="47" t="s">
        <v>60</v>
      </c>
      <c r="C22" s="13" t="s">
        <v>61</v>
      </c>
      <c r="D22" s="23">
        <f>+'ESTADO DE RESULTADOS 2018-2022'!E24/('BALANCES GENERAL 2018-2022'!E17+'BALANCES GENERAL 2018-2022'!E23+'BALANCES GENERAL 2018-2022'!E27)</f>
        <v>1.4392914495023309E-2</v>
      </c>
      <c r="E22" s="23">
        <f>+'ESTADO DE RESULTADOS 2018-2022'!F24/('BALANCES GENERAL 2018-2022'!F17+'BALANCES GENERAL 2018-2022'!F23+'BALANCES GENERAL 2018-2022'!F27)</f>
        <v>5.6395107218095075E-3</v>
      </c>
      <c r="F22" s="23">
        <f>+'ESTADO DE RESULTADOS 2018-2022'!G24/('BALANCES GENERAL 2018-2022'!G17+'BALANCES GENERAL 2018-2022'!G23+'BALANCES GENERAL 2018-2022'!G27)</f>
        <v>-1.3829891404165689E-2</v>
      </c>
      <c r="G22" s="23">
        <f>+'ESTADO DE RESULTADOS 2018-2022'!H24/('BALANCES GENERAL 2018-2022'!H17+'BALANCES GENERAL 2018-2022'!H23+'BALANCES GENERAL 2018-2022'!H27)</f>
        <v>-8.2805219161077111E-4</v>
      </c>
      <c r="H22" s="23">
        <f>+'ESTADO DE RESULTADOS 2018-2022'!I24/('BALANCES GENERAL 2018-2022'!I17+'BALANCES GENERAL 2018-2022'!I23+'BALANCES GENERAL 2018-2022'!I27)</f>
        <v>4.11315938944311E-2</v>
      </c>
      <c r="I22" s="13" t="s">
        <v>62</v>
      </c>
      <c r="J22" s="13" t="s">
        <v>59</v>
      </c>
    </row>
    <row r="23" spans="2:10" ht="52.8" customHeight="1" x14ac:dyDescent="0.3">
      <c r="B23" s="47" t="s">
        <v>125</v>
      </c>
      <c r="C23" s="13" t="s">
        <v>124</v>
      </c>
      <c r="D23" s="23">
        <f>+'ESTADO DE RESULTADOS 2018-2022'!E36/'BALANCES GENERAL 2018-2022'!E33</f>
        <v>7.6611809805945313E-2</v>
      </c>
      <c r="E23" s="23">
        <f>+'ESTADO DE RESULTADOS 2018-2022'!F36/'BALANCES GENERAL 2018-2022'!F33</f>
        <v>-1.02968509015416E-2</v>
      </c>
      <c r="F23" s="23">
        <f>+'ESTADO DE RESULTADOS 2018-2022'!G36/'BALANCES GENERAL 2018-2022'!G33</f>
        <v>5.7669655034501943E-2</v>
      </c>
      <c r="G23" s="23">
        <f>+'ESTADO DE RESULTADOS 2018-2022'!H36/'BALANCES GENERAL 2018-2022'!H33</f>
        <v>0.1760219262427265</v>
      </c>
      <c r="H23" s="23">
        <f>+'ESTADO DE RESULTADOS 2018-2022'!I36/'BALANCES GENERAL 2018-2022'!I33</f>
        <v>0.2374787906944571</v>
      </c>
      <c r="I23" s="13" t="s">
        <v>127</v>
      </c>
      <c r="J23" s="13" t="s">
        <v>59</v>
      </c>
    </row>
  </sheetData>
  <mergeCells count="3">
    <mergeCell ref="B3:J3"/>
    <mergeCell ref="B13:J13"/>
    <mergeCell ref="B18:J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D256-9319-4419-8BA2-2B35AC250C9C}">
  <sheetPr>
    <tabColor rgb="FF009900"/>
  </sheetPr>
  <dimension ref="A1:H25"/>
  <sheetViews>
    <sheetView showGridLines="0" topLeftCell="A10" workbookViewId="0">
      <selection activeCell="E22" sqref="E22"/>
    </sheetView>
  </sheetViews>
  <sheetFormatPr baseColWidth="10" defaultRowHeight="14.4" x14ac:dyDescent="0.3"/>
  <cols>
    <col min="1" max="1" width="30" bestFit="1" customWidth="1"/>
    <col min="2" max="2" width="15" bestFit="1" customWidth="1"/>
    <col min="3" max="3" width="2.5546875" customWidth="1"/>
    <col min="4" max="4" width="33.33203125" customWidth="1"/>
    <col min="5" max="5" width="17.6640625" style="128" bestFit="1" customWidth="1"/>
    <col min="8" max="8" width="16.6640625" bestFit="1" customWidth="1"/>
  </cols>
  <sheetData>
    <row r="1" spans="1:8" x14ac:dyDescent="0.3">
      <c r="A1" s="18" t="s">
        <v>1</v>
      </c>
      <c r="B1" s="17"/>
      <c r="C1" s="17"/>
      <c r="D1" s="18" t="s">
        <v>9</v>
      </c>
      <c r="E1" s="125"/>
    </row>
    <row r="2" spans="1:8" x14ac:dyDescent="0.3">
      <c r="A2" s="2"/>
      <c r="B2" s="2"/>
      <c r="C2" s="2"/>
      <c r="D2" s="2"/>
      <c r="E2" s="125"/>
    </row>
    <row r="3" spans="1:8" x14ac:dyDescent="0.3">
      <c r="A3" s="26" t="s">
        <v>68</v>
      </c>
      <c r="B3" s="30">
        <f>'BALANCES GENERAL 2018-2022'!I7</f>
        <v>30814623978</v>
      </c>
      <c r="C3" s="30"/>
      <c r="D3" s="34" t="s">
        <v>83</v>
      </c>
      <c r="E3" s="126">
        <f>'BALANCES GENERAL 2018-2022'!I43</f>
        <v>0</v>
      </c>
      <c r="G3" t="s">
        <v>126</v>
      </c>
      <c r="H3" s="129">
        <f>(B3-E11-(30%*E21))*50%</f>
        <v>8785438118.2999992</v>
      </c>
    </row>
    <row r="4" spans="1:8" x14ac:dyDescent="0.3">
      <c r="A4" s="26" t="s">
        <v>69</v>
      </c>
      <c r="B4" s="10">
        <v>0</v>
      </c>
      <c r="C4" s="8"/>
      <c r="D4" s="34" t="s">
        <v>11</v>
      </c>
      <c r="E4" s="126">
        <f>'BALANCES GENERAL 2018-2022'!I44</f>
        <v>52632851</v>
      </c>
    </row>
    <row r="5" spans="1:8" x14ac:dyDescent="0.3">
      <c r="A5" s="27" t="s">
        <v>70</v>
      </c>
      <c r="B5" s="10">
        <v>0</v>
      </c>
      <c r="C5" s="8"/>
      <c r="D5" s="34" t="s">
        <v>26</v>
      </c>
      <c r="E5" s="126">
        <f>'BALANCES GENERAL 2018-2022'!I45</f>
        <v>198282132</v>
      </c>
    </row>
    <row r="6" spans="1:8" x14ac:dyDescent="0.3">
      <c r="A6" s="27" t="s">
        <v>71</v>
      </c>
      <c r="B6" s="10">
        <v>0</v>
      </c>
      <c r="C6" s="8"/>
      <c r="D6" s="34" t="s">
        <v>84</v>
      </c>
      <c r="E6" s="126">
        <f>'BALANCES GENERAL 2018-2022'!I46</f>
        <v>8616525000</v>
      </c>
    </row>
    <row r="7" spans="1:8" x14ac:dyDescent="0.3">
      <c r="A7" s="26" t="s">
        <v>64</v>
      </c>
      <c r="B7" s="10">
        <v>0</v>
      </c>
      <c r="C7" s="8"/>
      <c r="D7" s="34" t="s">
        <v>85</v>
      </c>
      <c r="E7" s="126">
        <f>'BALANCES GENERAL 2018-2022'!I47</f>
        <v>2122616234</v>
      </c>
    </row>
    <row r="8" spans="1:8" x14ac:dyDescent="0.3">
      <c r="A8" s="26" t="s">
        <v>72</v>
      </c>
      <c r="B8" s="10">
        <v>0</v>
      </c>
      <c r="C8" s="8"/>
      <c r="D8" s="34" t="s">
        <v>86</v>
      </c>
      <c r="E8" s="126">
        <f>'BALANCES GENERAL 2018-2022'!I48</f>
        <v>-228645825</v>
      </c>
      <c r="H8" s="40"/>
    </row>
    <row r="9" spans="1:8" x14ac:dyDescent="0.3">
      <c r="A9" s="27" t="s">
        <v>73</v>
      </c>
      <c r="B9" s="10">
        <v>0</v>
      </c>
      <c r="C9" s="8"/>
      <c r="D9" s="34" t="s">
        <v>87</v>
      </c>
      <c r="E9" s="126">
        <f>'BALANCES GENERAL 2018-2022'!I49</f>
        <v>518451268</v>
      </c>
    </row>
    <row r="10" spans="1:8" x14ac:dyDescent="0.3">
      <c r="A10" s="27" t="s">
        <v>74</v>
      </c>
      <c r="B10" s="10">
        <v>0</v>
      </c>
      <c r="C10" s="8"/>
      <c r="D10" s="2"/>
      <c r="E10" s="125"/>
    </row>
    <row r="11" spans="1:8" x14ac:dyDescent="0.3">
      <c r="A11" s="27" t="s">
        <v>75</v>
      </c>
      <c r="B11" s="10">
        <v>0</v>
      </c>
      <c r="C11" s="8"/>
      <c r="D11" s="18" t="s">
        <v>12</v>
      </c>
      <c r="E11" s="127">
        <f>SUM(E3:E9)</f>
        <v>11279861660</v>
      </c>
    </row>
    <row r="12" spans="1:8" x14ac:dyDescent="0.3">
      <c r="A12" s="2"/>
      <c r="B12" s="2"/>
      <c r="C12" s="2"/>
      <c r="D12" s="2"/>
      <c r="E12" s="125"/>
    </row>
    <row r="13" spans="1:8" x14ac:dyDescent="0.3">
      <c r="A13" s="18" t="s">
        <v>2</v>
      </c>
      <c r="B13" s="5">
        <f>SUM(B3:B11)</f>
        <v>30814623978</v>
      </c>
      <c r="C13" s="5"/>
      <c r="D13" s="18" t="s">
        <v>13</v>
      </c>
      <c r="E13" s="125"/>
    </row>
    <row r="14" spans="1:8" x14ac:dyDescent="0.3">
      <c r="A14" s="18"/>
      <c r="B14" s="5"/>
      <c r="C14" s="5"/>
      <c r="D14" s="2"/>
      <c r="E14" s="125"/>
    </row>
    <row r="15" spans="1:8" x14ac:dyDescent="0.3">
      <c r="A15" s="18" t="s">
        <v>10</v>
      </c>
      <c r="B15" s="5"/>
      <c r="C15" s="5"/>
      <c r="D15" s="34" t="s">
        <v>88</v>
      </c>
      <c r="E15" s="126">
        <f>'BALANCES GENERAL 2018-2022'!I55</f>
        <v>0</v>
      </c>
    </row>
    <row r="16" spans="1:8" x14ac:dyDescent="0.3">
      <c r="A16" s="2"/>
      <c r="B16" s="2"/>
      <c r="C16" s="2"/>
      <c r="D16" s="34" t="s">
        <v>89</v>
      </c>
      <c r="E16" s="126">
        <f>'BALANCES GENERAL 2018-2022'!I56</f>
        <v>0</v>
      </c>
    </row>
    <row r="17" spans="1:5" x14ac:dyDescent="0.3">
      <c r="A17" s="32" t="s">
        <v>76</v>
      </c>
      <c r="B17" s="33" t="s">
        <v>82</v>
      </c>
      <c r="C17" s="33"/>
      <c r="D17" s="34" t="s">
        <v>90</v>
      </c>
      <c r="E17" s="126">
        <f>'BALANCES GENERAL 2018-2022'!I57</f>
        <v>5928263260</v>
      </c>
    </row>
    <row r="18" spans="1:5" x14ac:dyDescent="0.3">
      <c r="A18" s="32" t="s">
        <v>72</v>
      </c>
      <c r="B18" s="33" t="s">
        <v>82</v>
      </c>
      <c r="C18" s="33"/>
      <c r="D18" s="34" t="s">
        <v>91</v>
      </c>
      <c r="E18" s="126">
        <f>'BALANCES GENERAL 2018-2022'!I58</f>
        <v>0</v>
      </c>
    </row>
    <row r="19" spans="1:5" x14ac:dyDescent="0.3">
      <c r="A19" s="34" t="s">
        <v>74</v>
      </c>
      <c r="B19" s="33" t="s">
        <v>82</v>
      </c>
      <c r="C19" s="33"/>
      <c r="D19" s="34" t="s">
        <v>92</v>
      </c>
      <c r="E19" s="126">
        <f>'BALANCES GENERAL 2018-2022'!I59</f>
        <v>618023678</v>
      </c>
    </row>
    <row r="20" spans="1:5" x14ac:dyDescent="0.3">
      <c r="A20" s="34" t="s">
        <v>77</v>
      </c>
      <c r="B20" s="33" t="s">
        <v>82</v>
      </c>
      <c r="C20" s="31"/>
    </row>
    <row r="21" spans="1:5" x14ac:dyDescent="0.3">
      <c r="A21" s="32" t="s">
        <v>64</v>
      </c>
      <c r="B21" s="33" t="s">
        <v>82</v>
      </c>
      <c r="C21" s="31"/>
      <c r="E21" s="127">
        <f>SUM(E15:E19)</f>
        <v>6546286938</v>
      </c>
    </row>
    <row r="22" spans="1:5" x14ac:dyDescent="0.3">
      <c r="A22" s="34" t="s">
        <v>78</v>
      </c>
      <c r="B22" s="33" t="s">
        <v>82</v>
      </c>
      <c r="C22" s="31"/>
    </row>
    <row r="23" spans="1:5" ht="57.6" x14ac:dyDescent="0.3">
      <c r="A23" s="36" t="s">
        <v>79</v>
      </c>
      <c r="B23" s="33" t="s">
        <v>82</v>
      </c>
      <c r="C23" s="31"/>
    </row>
    <row r="24" spans="1:5" x14ac:dyDescent="0.3">
      <c r="A24" s="32" t="s">
        <v>80</v>
      </c>
      <c r="B24" s="33" t="s">
        <v>82</v>
      </c>
      <c r="C24" s="31"/>
    </row>
    <row r="25" spans="1:5" x14ac:dyDescent="0.3">
      <c r="A25" s="32" t="s">
        <v>81</v>
      </c>
      <c r="B25" s="33" t="s">
        <v>82</v>
      </c>
      <c r="C25" s="3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BALANCES GENERAL 2018-2022</vt:lpstr>
      <vt:lpstr>ESTADO DE RESULTADOS 2018-2022</vt:lpstr>
      <vt:lpstr>ANALISIS HORIZONTAL BG</vt:lpstr>
      <vt:lpstr>ANALISIS HORIZONTAL ER</vt:lpstr>
      <vt:lpstr>RAZONES FINANCIERAS</vt:lpstr>
      <vt:lpstr>CAPACIDAD DE INVERSION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María Quintero M</dc:creator>
  <cp:lastModifiedBy>DIANA PEÑUELA</cp:lastModifiedBy>
  <dcterms:created xsi:type="dcterms:W3CDTF">2014-01-31T02:27:44Z</dcterms:created>
  <dcterms:modified xsi:type="dcterms:W3CDTF">2023-03-28T02:02:04Z</dcterms:modified>
</cp:coreProperties>
</file>